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xampp\htdocs\CALISNTO\"/>
    </mc:Choice>
  </mc:AlternateContent>
  <bookViews>
    <workbookView xWindow="20370" yWindow="-120" windowWidth="20730" windowHeight="11160"/>
  </bookViews>
  <sheets>
    <sheet name="Hoja_de_registro" sheetId="15" r:id="rId1"/>
    <sheet name="HOJA DE CALCULO" sheetId="5" r:id="rId2"/>
    <sheet name="calculo2" sheetId="2" r:id="rId3"/>
    <sheet name="MC" sheetId="12" r:id="rId4"/>
    <sheet name="EMT" sheetId="4" r:id="rId5"/>
    <sheet name="CERT" sheetId="8" r:id="rId6"/>
    <sheet name="DATOS" sheetId="9" r:id="rId7"/>
    <sheet name="LIN" sheetId="13" r:id="rId8"/>
    <sheet name="Puntos_de_medición" sheetId="16" r:id="rId9"/>
  </sheets>
  <externalReferences>
    <externalReference r:id="rId10"/>
  </externalReferences>
  <definedNames>
    <definedName name="_xlnm._FilterDatabase" localSheetId="4" hidden="1">EMT!$A$1:$A$74</definedName>
    <definedName name="_xlnm.Print_Area" localSheetId="2">calculo2!$A$1:$I$62</definedName>
    <definedName name="_xlnm.Print_Area" localSheetId="5">CERT!$B$1:$N$119</definedName>
    <definedName name="_xlnm.Print_Area" localSheetId="1">'HOJA DE CALCULO'!$A$1:$I$124</definedName>
  </definedNames>
  <calcPr calcId="181029"/>
</workbook>
</file>

<file path=xl/calcChain.xml><?xml version="1.0" encoding="utf-8"?>
<calcChain xmlns="http://schemas.openxmlformats.org/spreadsheetml/2006/main">
  <c r="C43" i="9" l="1"/>
  <c r="I34" i="5" l="1"/>
  <c r="I35" i="5"/>
  <c r="I36" i="5"/>
  <c r="I37" i="5"/>
  <c r="H34" i="5"/>
  <c r="H35" i="5"/>
  <c r="H36" i="5"/>
  <c r="H37" i="5"/>
  <c r="G34" i="5"/>
  <c r="G35" i="5"/>
  <c r="G36" i="5"/>
  <c r="G37" i="5"/>
  <c r="F34" i="5"/>
  <c r="F35" i="5"/>
  <c r="F36" i="5"/>
  <c r="F37" i="5"/>
  <c r="I33" i="5"/>
  <c r="H33" i="5"/>
  <c r="G33" i="5"/>
  <c r="F33" i="5"/>
  <c r="C34" i="5"/>
  <c r="C35" i="5"/>
  <c r="C36" i="5"/>
  <c r="C37" i="5"/>
  <c r="B34" i="5"/>
  <c r="B35" i="5"/>
  <c r="B36" i="5"/>
  <c r="B37" i="5"/>
  <c r="C33" i="5"/>
  <c r="B33" i="5"/>
  <c r="C22" i="5"/>
  <c r="C23" i="5"/>
  <c r="C24" i="5"/>
  <c r="C25" i="5"/>
  <c r="C21" i="5"/>
  <c r="B22" i="5"/>
  <c r="B23" i="5"/>
  <c r="B24" i="5"/>
  <c r="B25" i="5"/>
  <c r="B21" i="5"/>
  <c r="B5" i="5"/>
  <c r="H35" i="16" l="1"/>
  <c r="F35" i="16"/>
  <c r="G34" i="16"/>
  <c r="F34" i="16"/>
  <c r="A29" i="16"/>
  <c r="F29" i="16" s="1"/>
  <c r="A28" i="16"/>
  <c r="F28" i="16" s="1"/>
  <c r="F21" i="16"/>
  <c r="F18" i="16"/>
  <c r="H6" i="16"/>
  <c r="G6" i="16"/>
  <c r="F6" i="16"/>
  <c r="D19" i="15"/>
  <c r="M19" i="15"/>
  <c r="B29" i="15"/>
  <c r="P29" i="15"/>
  <c r="B30" i="15"/>
  <c r="P30" i="15"/>
  <c r="B31" i="15"/>
  <c r="P31" i="15"/>
  <c r="B32" i="15"/>
  <c r="P32" i="15"/>
  <c r="B33" i="15"/>
  <c r="P33" i="15"/>
  <c r="H17" i="13"/>
  <c r="F17" i="13"/>
  <c r="G16" i="13"/>
  <c r="F16" i="13"/>
  <c r="A11" i="13"/>
  <c r="F11" i="13" s="1"/>
  <c r="A10" i="13"/>
  <c r="F10" i="13" s="1"/>
  <c r="K7" i="4" l="1"/>
  <c r="K15" i="4" l="1"/>
  <c r="C17" i="4"/>
  <c r="C15" i="4" s="1"/>
  <c r="D17" i="4"/>
  <c r="D15" i="4" s="1"/>
  <c r="E17" i="4"/>
  <c r="E15" i="4" s="1"/>
  <c r="F17" i="4"/>
  <c r="F15" i="4" s="1"/>
  <c r="K17" i="4"/>
  <c r="K19" i="4"/>
  <c r="C21" i="4"/>
  <c r="D21" i="4"/>
  <c r="E21" i="4"/>
  <c r="F21" i="4"/>
  <c r="G21" i="4"/>
  <c r="B21" i="4"/>
  <c r="K21" i="4"/>
  <c r="H77" i="5"/>
  <c r="H75" i="5" s="1"/>
  <c r="A77" i="5"/>
  <c r="A75" i="5" s="1"/>
  <c r="C44" i="5" l="1"/>
  <c r="Q38" i="2" s="1"/>
  <c r="C45" i="5"/>
  <c r="C46" i="5"/>
  <c r="Q40" i="2" s="1"/>
  <c r="C47" i="5"/>
  <c r="Q41" i="2" s="1"/>
  <c r="C43" i="5"/>
  <c r="Q37" i="2" s="1"/>
  <c r="B44" i="5"/>
  <c r="B45" i="5"/>
  <c r="B46" i="5"/>
  <c r="P40" i="2" s="1"/>
  <c r="B47" i="5"/>
  <c r="P41" i="2" s="1"/>
  <c r="B43" i="5"/>
  <c r="P37" i="2" s="1"/>
  <c r="C25" i="12"/>
  <c r="C21" i="12" s="1"/>
  <c r="B25" i="12"/>
  <c r="B21" i="12" s="1"/>
  <c r="A25" i="12"/>
  <c r="A21" i="12" s="1"/>
  <c r="H79" i="5"/>
  <c r="A79" i="5"/>
  <c r="M49" i="8"/>
  <c r="E49" i="8"/>
  <c r="J24" i="8"/>
  <c r="J22" i="8"/>
  <c r="J8" i="8"/>
  <c r="D57" i="8"/>
  <c r="D84" i="8"/>
  <c r="I49" i="8"/>
  <c r="D55" i="8"/>
  <c r="L44" i="8"/>
  <c r="I44" i="8"/>
  <c r="G44" i="8"/>
  <c r="E44" i="8"/>
  <c r="B44" i="8"/>
  <c r="M43" i="4"/>
  <c r="C38" i="12"/>
  <c r="B38" i="12"/>
  <c r="A38" i="12"/>
  <c r="C35" i="12"/>
  <c r="B35" i="12"/>
  <c r="A35" i="12"/>
  <c r="B36" i="12"/>
  <c r="B33" i="12" s="1"/>
  <c r="C36" i="12"/>
  <c r="C28" i="12" s="1"/>
  <c r="A36" i="12"/>
  <c r="A28" i="12" s="1"/>
  <c r="O58" i="4"/>
  <c r="O52" i="4"/>
  <c r="Q59" i="4"/>
  <c r="Q55" i="4"/>
  <c r="Q58" i="4"/>
  <c r="Q50" i="4"/>
  <c r="Q52" i="4"/>
  <c r="Q46" i="4"/>
  <c r="Q43" i="4"/>
  <c r="Q40" i="4"/>
  <c r="Q31" i="4"/>
  <c r="Q34" i="4"/>
  <c r="Q27" i="4"/>
  <c r="Q22" i="4"/>
  <c r="L22" i="4"/>
  <c r="L27" i="4"/>
  <c r="L31" i="4"/>
  <c r="L34" i="4"/>
  <c r="L40" i="4"/>
  <c r="L43" i="4"/>
  <c r="L46" i="4"/>
  <c r="L50" i="4"/>
  <c r="L52" i="4"/>
  <c r="L55" i="4"/>
  <c r="L56" i="4"/>
  <c r="L58" i="4"/>
  <c r="K51" i="4"/>
  <c r="K30" i="4"/>
  <c r="K28" i="4"/>
  <c r="K29" i="4"/>
  <c r="K24" i="4"/>
  <c r="K25" i="4"/>
  <c r="K26" i="4"/>
  <c r="K23" i="4"/>
  <c r="K3" i="4"/>
  <c r="K4" i="4"/>
  <c r="K6" i="4"/>
  <c r="K8" i="4"/>
  <c r="K9" i="4"/>
  <c r="K10" i="4"/>
  <c r="K11" i="4"/>
  <c r="K12" i="4"/>
  <c r="K13" i="4"/>
  <c r="K14" i="4"/>
  <c r="K16" i="4"/>
  <c r="K18" i="4"/>
  <c r="K20" i="4"/>
  <c r="K2" i="4"/>
  <c r="C30" i="12"/>
  <c r="B30" i="12"/>
  <c r="A30" i="12"/>
  <c r="C27" i="12"/>
  <c r="B27" i="12"/>
  <c r="A27" i="12"/>
  <c r="C26" i="12"/>
  <c r="C24" i="12" s="1"/>
  <c r="C23" i="12" s="1"/>
  <c r="B26" i="12"/>
  <c r="B24" i="12" s="1"/>
  <c r="B23" i="12" s="1"/>
  <c r="A26" i="12"/>
  <c r="AG79" i="2"/>
  <c r="H110" i="5"/>
  <c r="A110" i="5"/>
  <c r="G54" i="4"/>
  <c r="Q54" i="4" s="1"/>
  <c r="E54" i="4"/>
  <c r="O54" i="4" s="1"/>
  <c r="B54" i="4"/>
  <c r="L54" i="4" s="1"/>
  <c r="K54" i="4"/>
  <c r="G32" i="12"/>
  <c r="F32" i="12"/>
  <c r="E32" i="12"/>
  <c r="E59" i="4"/>
  <c r="O59" i="4" s="1"/>
  <c r="B59" i="4"/>
  <c r="L59" i="4" s="1"/>
  <c r="A89" i="5"/>
  <c r="H94" i="5"/>
  <c r="A94" i="5"/>
  <c r="H97" i="5"/>
  <c r="A97" i="5"/>
  <c r="H81" i="5"/>
  <c r="A81" i="5"/>
  <c r="A76" i="5" s="1"/>
  <c r="H84" i="5"/>
  <c r="A84" i="5"/>
  <c r="H80" i="5"/>
  <c r="A80" i="5"/>
  <c r="H89" i="5"/>
  <c r="H93" i="5"/>
  <c r="A93" i="5"/>
  <c r="H104" i="5"/>
  <c r="A104" i="5"/>
  <c r="A103" i="5" s="1"/>
  <c r="H105" i="5"/>
  <c r="H100" i="5" s="1"/>
  <c r="H92" i="5" s="1"/>
  <c r="A105" i="5"/>
  <c r="A95" i="5" s="1"/>
  <c r="H107" i="5"/>
  <c r="A107" i="5"/>
  <c r="H101" i="5"/>
  <c r="A101" i="5"/>
  <c r="H117" i="5"/>
  <c r="H113" i="5" s="1"/>
  <c r="H109" i="5" s="1"/>
  <c r="A117" i="5"/>
  <c r="A113" i="5" s="1"/>
  <c r="A109" i="5" s="1"/>
  <c r="H74" i="5"/>
  <c r="A74" i="5"/>
  <c r="A73" i="5" s="1"/>
  <c r="A71" i="5" s="1"/>
  <c r="G18" i="4"/>
  <c r="B18" i="4"/>
  <c r="B17" i="4" s="1"/>
  <c r="B15" i="4" s="1"/>
  <c r="G25" i="4"/>
  <c r="Q25" i="4" s="1"/>
  <c r="E25" i="4"/>
  <c r="O25" i="4" s="1"/>
  <c r="B25" i="4"/>
  <c r="L25" i="4" s="1"/>
  <c r="G28" i="4"/>
  <c r="Q28" i="4" s="1"/>
  <c r="E28" i="4"/>
  <c r="O28" i="4" s="1"/>
  <c r="B28" i="4"/>
  <c r="L28" i="4" s="1"/>
  <c r="K35" i="4"/>
  <c r="K32" i="4"/>
  <c r="B37" i="4"/>
  <c r="L37" i="4" s="1"/>
  <c r="K36" i="4"/>
  <c r="B38" i="4"/>
  <c r="L38" i="4" s="1"/>
  <c r="K38" i="4"/>
  <c r="K39" i="4"/>
  <c r="K42" i="4"/>
  <c r="G41" i="4"/>
  <c r="E41" i="4"/>
  <c r="B41" i="4"/>
  <c r="L41" i="4" s="1"/>
  <c r="K41" i="4"/>
  <c r="K44" i="4"/>
  <c r="K47" i="4"/>
  <c r="G33" i="4"/>
  <c r="Q33" i="4" s="1"/>
  <c r="E33" i="4"/>
  <c r="B33" i="4"/>
  <c r="K33" i="4"/>
  <c r="G37" i="4"/>
  <c r="Q37" i="4" s="1"/>
  <c r="E37" i="4"/>
  <c r="O37" i="4" s="1"/>
  <c r="K37" i="4"/>
  <c r="G24" i="4"/>
  <c r="G23" i="4" s="1"/>
  <c r="G19" i="4" s="1"/>
  <c r="E24" i="4"/>
  <c r="O24" i="4" s="1"/>
  <c r="B24" i="4"/>
  <c r="G49" i="4"/>
  <c r="E49" i="4"/>
  <c r="E39" i="4" s="1"/>
  <c r="B49" i="4"/>
  <c r="L49" i="4" s="1"/>
  <c r="K49" i="4"/>
  <c r="G48" i="4"/>
  <c r="Q48" i="4" s="1"/>
  <c r="E48" i="4"/>
  <c r="O48" i="4" s="1"/>
  <c r="B48" i="4"/>
  <c r="L48" i="4" s="1"/>
  <c r="K48" i="4"/>
  <c r="G45" i="4"/>
  <c r="G51" i="4"/>
  <c r="Q51" i="4" s="1"/>
  <c r="E51" i="4"/>
  <c r="O51" i="4" s="1"/>
  <c r="B51" i="4"/>
  <c r="L51" i="4" s="1"/>
  <c r="K53" i="4"/>
  <c r="G57" i="4"/>
  <c r="G53" i="4" s="1"/>
  <c r="Q53" i="4" s="1"/>
  <c r="E57" i="4"/>
  <c r="O57" i="4" s="1"/>
  <c r="B57" i="4"/>
  <c r="K59" i="4"/>
  <c r="K57" i="4"/>
  <c r="G56" i="4"/>
  <c r="Q56" i="4" s="1"/>
  <c r="E56" i="4"/>
  <c r="O56" i="4" s="1"/>
  <c r="K56" i="4"/>
  <c r="E45" i="4"/>
  <c r="O45" i="4" s="1"/>
  <c r="K45" i="4"/>
  <c r="B45" i="4"/>
  <c r="L45" i="4" s="1"/>
  <c r="R4" i="2"/>
  <c r="AF23" i="2" s="1"/>
  <c r="B19" i="2" s="1"/>
  <c r="A43" i="5"/>
  <c r="G38" i="12"/>
  <c r="F38" i="12"/>
  <c r="G7" i="12"/>
  <c r="F7" i="12"/>
  <c r="E7" i="12"/>
  <c r="G11" i="12"/>
  <c r="F11" i="12"/>
  <c r="E11" i="12"/>
  <c r="G16" i="12"/>
  <c r="G13" i="12" s="1"/>
  <c r="F16" i="12"/>
  <c r="E16" i="12"/>
  <c r="E13" i="12" s="1"/>
  <c r="G15" i="12"/>
  <c r="F15" i="12"/>
  <c r="E15" i="12"/>
  <c r="G36" i="12"/>
  <c r="G31" i="12" s="1"/>
  <c r="F36" i="12"/>
  <c r="F31" i="12" s="1"/>
  <c r="E36" i="12"/>
  <c r="E31" i="12" s="1"/>
  <c r="G35" i="12"/>
  <c r="G34" i="12" s="1"/>
  <c r="F35" i="12"/>
  <c r="F34" i="12" s="1"/>
  <c r="E35" i="12"/>
  <c r="G29" i="12"/>
  <c r="F29" i="12"/>
  <c r="E29" i="12"/>
  <c r="G27" i="12"/>
  <c r="G20" i="12" s="1"/>
  <c r="G8" i="12" s="1"/>
  <c r="F27" i="12"/>
  <c r="F17" i="12" s="1"/>
  <c r="E27" i="12"/>
  <c r="E20" i="12" s="1"/>
  <c r="E8" i="12" s="1"/>
  <c r="G26" i="12"/>
  <c r="F26" i="12"/>
  <c r="E26" i="12"/>
  <c r="G25" i="12"/>
  <c r="F25" i="12"/>
  <c r="E25" i="12"/>
  <c r="G23" i="12"/>
  <c r="G22" i="12" s="1"/>
  <c r="F23" i="12"/>
  <c r="F22" i="12" s="1"/>
  <c r="E23" i="12"/>
  <c r="E22" i="12" s="1"/>
  <c r="E14" i="12" s="1"/>
  <c r="G19" i="12"/>
  <c r="F19" i="12"/>
  <c r="E19" i="12"/>
  <c r="G6" i="12"/>
  <c r="G4" i="12" s="1"/>
  <c r="F6" i="12"/>
  <c r="F4" i="12" s="1"/>
  <c r="E6" i="12"/>
  <c r="E4" i="12" s="1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1" i="4"/>
  <c r="D69" i="8"/>
  <c r="Q42" i="2"/>
  <c r="Q43" i="2"/>
  <c r="Q44" i="2"/>
  <c r="Q45" i="2"/>
  <c r="Q46" i="2"/>
  <c r="Q47" i="2"/>
  <c r="Q39" i="2"/>
  <c r="Y6" i="2"/>
  <c r="Y5" i="2"/>
  <c r="Y4" i="2"/>
  <c r="Y3" i="2"/>
  <c r="V5" i="2"/>
  <c r="V3" i="2"/>
  <c r="R3" i="2"/>
  <c r="R7" i="2"/>
  <c r="AM60" i="2" s="1"/>
  <c r="Q19" i="2"/>
  <c r="P19" i="2"/>
  <c r="Q18" i="2"/>
  <c r="P18" i="2"/>
  <c r="Q17" i="2"/>
  <c r="P17" i="2"/>
  <c r="R5" i="2"/>
  <c r="AE89" i="2" s="1"/>
  <c r="S5" i="2"/>
  <c r="AD77" i="2" s="1"/>
  <c r="S4" i="2"/>
  <c r="H18" i="2" s="1"/>
  <c r="I66" i="8"/>
  <c r="C66" i="8"/>
  <c r="I61" i="8"/>
  <c r="D61" i="8"/>
  <c r="D59" i="8"/>
  <c r="D53" i="8"/>
  <c r="L42" i="8"/>
  <c r="I42" i="8"/>
  <c r="G42" i="8"/>
  <c r="E42" i="8"/>
  <c r="B42" i="8"/>
  <c r="J33" i="8"/>
  <c r="J31" i="8"/>
  <c r="J28" i="8"/>
  <c r="J26" i="8"/>
  <c r="D33" i="8"/>
  <c r="D31" i="8"/>
  <c r="D28" i="8"/>
  <c r="D26" i="8"/>
  <c r="D24" i="8"/>
  <c r="D22" i="8"/>
  <c r="C16" i="8"/>
  <c r="C14" i="8"/>
  <c r="C12" i="8"/>
  <c r="E8" i="8"/>
  <c r="H73" i="8" s="1"/>
  <c r="K1" i="4"/>
  <c r="M1" i="4"/>
  <c r="N1" i="4"/>
  <c r="O1" i="4"/>
  <c r="P1" i="4"/>
  <c r="Q1" i="4"/>
  <c r="R1" i="4"/>
  <c r="S1" i="4"/>
  <c r="K22" i="4"/>
  <c r="M22" i="4"/>
  <c r="N22" i="4"/>
  <c r="O22" i="4"/>
  <c r="P22" i="4"/>
  <c r="R22" i="4"/>
  <c r="S22" i="4"/>
  <c r="K27" i="4"/>
  <c r="M27" i="4"/>
  <c r="N27" i="4"/>
  <c r="O27" i="4"/>
  <c r="P27" i="4"/>
  <c r="R27" i="4"/>
  <c r="S27" i="4"/>
  <c r="K31" i="4"/>
  <c r="M31" i="4"/>
  <c r="N31" i="4"/>
  <c r="O31" i="4"/>
  <c r="P31" i="4"/>
  <c r="R31" i="4"/>
  <c r="S31" i="4"/>
  <c r="K34" i="4"/>
  <c r="M34" i="4"/>
  <c r="N34" i="4"/>
  <c r="O34" i="4"/>
  <c r="P34" i="4"/>
  <c r="R34" i="4"/>
  <c r="S34" i="4"/>
  <c r="K40" i="4"/>
  <c r="M40" i="4"/>
  <c r="N40" i="4"/>
  <c r="O40" i="4"/>
  <c r="P40" i="4"/>
  <c r="R40" i="4"/>
  <c r="S40" i="4"/>
  <c r="K43" i="4"/>
  <c r="N43" i="4"/>
  <c r="O43" i="4"/>
  <c r="P43" i="4"/>
  <c r="R43" i="4"/>
  <c r="S43" i="4"/>
  <c r="K46" i="4"/>
  <c r="M46" i="4"/>
  <c r="N46" i="4"/>
  <c r="O46" i="4"/>
  <c r="P46" i="4"/>
  <c r="R46" i="4"/>
  <c r="S46" i="4"/>
  <c r="K50" i="4"/>
  <c r="M50" i="4"/>
  <c r="N50" i="4"/>
  <c r="O50" i="4"/>
  <c r="P50" i="4"/>
  <c r="R50" i="4"/>
  <c r="S50" i="4"/>
  <c r="K52" i="4"/>
  <c r="M52" i="4"/>
  <c r="N52" i="4"/>
  <c r="P52" i="4"/>
  <c r="R52" i="4"/>
  <c r="S52" i="4"/>
  <c r="K55" i="4"/>
  <c r="M55" i="4"/>
  <c r="N55" i="4"/>
  <c r="O55" i="4"/>
  <c r="P55" i="4"/>
  <c r="R55" i="4"/>
  <c r="S55" i="4"/>
  <c r="K58" i="4"/>
  <c r="M58" i="4"/>
  <c r="N58" i="4"/>
  <c r="P58" i="4"/>
  <c r="R58" i="4"/>
  <c r="S58" i="4"/>
  <c r="K60" i="4"/>
  <c r="M60" i="4"/>
  <c r="N60" i="4"/>
  <c r="O60" i="4"/>
  <c r="P60" i="4"/>
  <c r="Q60" i="4"/>
  <c r="R60" i="4"/>
  <c r="S60" i="4"/>
  <c r="K61" i="4"/>
  <c r="M61" i="4"/>
  <c r="N61" i="4"/>
  <c r="O61" i="4"/>
  <c r="P61" i="4"/>
  <c r="Q61" i="4"/>
  <c r="R61" i="4"/>
  <c r="S61" i="4"/>
  <c r="K62" i="4"/>
  <c r="M62" i="4"/>
  <c r="N62" i="4"/>
  <c r="O62" i="4"/>
  <c r="P62" i="4"/>
  <c r="Q62" i="4"/>
  <c r="R62" i="4"/>
  <c r="S62" i="4"/>
  <c r="K63" i="4"/>
  <c r="M63" i="4"/>
  <c r="N63" i="4"/>
  <c r="O63" i="4"/>
  <c r="P63" i="4"/>
  <c r="Q63" i="4"/>
  <c r="R63" i="4"/>
  <c r="S63" i="4"/>
  <c r="K64" i="4"/>
  <c r="M64" i="4"/>
  <c r="N64" i="4"/>
  <c r="O64" i="4"/>
  <c r="P64" i="4"/>
  <c r="Q64" i="4"/>
  <c r="R64" i="4"/>
  <c r="K65" i="4"/>
  <c r="M65" i="4"/>
  <c r="N65" i="4"/>
  <c r="O65" i="4"/>
  <c r="P65" i="4"/>
  <c r="Q65" i="4"/>
  <c r="R65" i="4"/>
  <c r="K66" i="4"/>
  <c r="M66" i="4"/>
  <c r="N66" i="4"/>
  <c r="O66" i="4"/>
  <c r="P66" i="4"/>
  <c r="Q66" i="4"/>
  <c r="R66" i="4"/>
  <c r="K67" i="4"/>
  <c r="M67" i="4"/>
  <c r="N67" i="4"/>
  <c r="O67" i="4"/>
  <c r="P67" i="4"/>
  <c r="Q67" i="4"/>
  <c r="K68" i="4"/>
  <c r="M68" i="4"/>
  <c r="N68" i="4"/>
  <c r="O68" i="4"/>
  <c r="P68" i="4"/>
  <c r="Q68" i="4"/>
  <c r="K69" i="4"/>
  <c r="M69" i="4"/>
  <c r="N69" i="4"/>
  <c r="O69" i="4"/>
  <c r="P69" i="4"/>
  <c r="Q69" i="4"/>
  <c r="K70" i="4"/>
  <c r="M70" i="4"/>
  <c r="N70" i="4"/>
  <c r="O70" i="4"/>
  <c r="P70" i="4"/>
  <c r="Q70" i="4"/>
  <c r="K71" i="4"/>
  <c r="M71" i="4"/>
  <c r="N71" i="4"/>
  <c r="O71" i="4"/>
  <c r="P71" i="4"/>
  <c r="Q71" i="4"/>
  <c r="K72" i="4"/>
  <c r="M72" i="4"/>
  <c r="N72" i="4"/>
  <c r="O72" i="4"/>
  <c r="P72" i="4"/>
  <c r="Q72" i="4"/>
  <c r="V4" i="2"/>
  <c r="Y10" i="2"/>
  <c r="AB11" i="2"/>
  <c r="X15" i="2"/>
  <c r="X16" i="2"/>
  <c r="X17" i="2"/>
  <c r="P26" i="2"/>
  <c r="G9" i="2" s="1"/>
  <c r="D77" i="8" s="1"/>
  <c r="U26" i="2"/>
  <c r="W26" i="2"/>
  <c r="AE27" i="2"/>
  <c r="AG27" i="2"/>
  <c r="P27" i="2"/>
  <c r="G10" i="2" s="1"/>
  <c r="D78" i="8" s="1"/>
  <c r="U27" i="2"/>
  <c r="W27" i="2"/>
  <c r="AE28" i="2"/>
  <c r="AG28" i="2"/>
  <c r="P28" i="2"/>
  <c r="G11" i="2" s="1"/>
  <c r="D79" i="8" s="1"/>
  <c r="U28" i="2"/>
  <c r="W28" i="2"/>
  <c r="AE29" i="2"/>
  <c r="AG29" i="2"/>
  <c r="P29" i="2"/>
  <c r="G12" i="2" s="1"/>
  <c r="D80" i="8" s="1"/>
  <c r="U29" i="2"/>
  <c r="W29" i="2"/>
  <c r="AE30" i="2"/>
  <c r="AG30" i="2"/>
  <c r="P30" i="2"/>
  <c r="G13" i="2" s="1"/>
  <c r="D81" i="8" s="1"/>
  <c r="U30" i="2"/>
  <c r="W30" i="2"/>
  <c r="AE31" i="2"/>
  <c r="AG31" i="2"/>
  <c r="P38" i="2"/>
  <c r="P39" i="2"/>
  <c r="AD41" i="2"/>
  <c r="AE41" i="2"/>
  <c r="AF41" i="2"/>
  <c r="AG41" i="2"/>
  <c r="AH41" i="2"/>
  <c r="AI41" i="2"/>
  <c r="AJ41" i="2"/>
  <c r="AE72" i="2" s="1"/>
  <c r="AG72" i="2" s="1"/>
  <c r="AL89" i="2" s="1"/>
  <c r="AK41" i="2"/>
  <c r="AL41" i="2"/>
  <c r="P42" i="2"/>
  <c r="AD42" i="2"/>
  <c r="AE42" i="2"/>
  <c r="AF42" i="2"/>
  <c r="AG42" i="2"/>
  <c r="AH42" i="2"/>
  <c r="AI42" i="2"/>
  <c r="AJ42" i="2"/>
  <c r="AK42" i="2"/>
  <c r="AL42" i="2"/>
  <c r="P43" i="2"/>
  <c r="AD43" i="2"/>
  <c r="AE43" i="2"/>
  <c r="AF43" i="2"/>
  <c r="AG43" i="2"/>
  <c r="AH43" i="2"/>
  <c r="AI43" i="2"/>
  <c r="AJ43" i="2"/>
  <c r="AK43" i="2"/>
  <c r="AL43" i="2"/>
  <c r="P44" i="2"/>
  <c r="AD44" i="2"/>
  <c r="AE44" i="2"/>
  <c r="AF44" i="2"/>
  <c r="AG44" i="2"/>
  <c r="AH44" i="2"/>
  <c r="AI44" i="2"/>
  <c r="AJ44" i="2"/>
  <c r="AK44" i="2"/>
  <c r="AL44" i="2"/>
  <c r="P45" i="2"/>
  <c r="AD45" i="2"/>
  <c r="AE45" i="2"/>
  <c r="AF45" i="2"/>
  <c r="AG45" i="2"/>
  <c r="AH45" i="2"/>
  <c r="AI45" i="2"/>
  <c r="AJ45" i="2"/>
  <c r="AK45" i="2"/>
  <c r="AL45" i="2"/>
  <c r="P46" i="2"/>
  <c r="AD46" i="2"/>
  <c r="AE46" i="2"/>
  <c r="AF46" i="2"/>
  <c r="AG46" i="2"/>
  <c r="AH46" i="2"/>
  <c r="AI46" i="2"/>
  <c r="AJ46" i="2"/>
  <c r="AK46" i="2"/>
  <c r="AL46" i="2"/>
  <c r="P47" i="2"/>
  <c r="AD47" i="2"/>
  <c r="AE47" i="2"/>
  <c r="AF47" i="2"/>
  <c r="AG47" i="2"/>
  <c r="AH47" i="2"/>
  <c r="AI47" i="2"/>
  <c r="AJ47" i="2"/>
  <c r="AK47" i="2"/>
  <c r="AL47" i="2"/>
  <c r="AD48" i="2"/>
  <c r="AE48" i="2"/>
  <c r="AF48" i="2"/>
  <c r="AG48" i="2"/>
  <c r="AH48" i="2"/>
  <c r="AI48" i="2"/>
  <c r="AJ48" i="2"/>
  <c r="AK48" i="2"/>
  <c r="AL48" i="2"/>
  <c r="AD49" i="2"/>
  <c r="AE49" i="2"/>
  <c r="AF49" i="2"/>
  <c r="AG49" i="2"/>
  <c r="AH49" i="2"/>
  <c r="AI49" i="2"/>
  <c r="AJ49" i="2"/>
  <c r="AK49" i="2"/>
  <c r="AL49" i="2"/>
  <c r="B50" i="2"/>
  <c r="AD50" i="2"/>
  <c r="AE50" i="2"/>
  <c r="AF50" i="2"/>
  <c r="AG50" i="2"/>
  <c r="AH50" i="2"/>
  <c r="AI50" i="2"/>
  <c r="AJ50" i="2"/>
  <c r="AK50" i="2"/>
  <c r="AL50" i="2"/>
  <c r="B51" i="2"/>
  <c r="AD51" i="2"/>
  <c r="AE51" i="2"/>
  <c r="AF51" i="2"/>
  <c r="AG51" i="2"/>
  <c r="AH51" i="2"/>
  <c r="AI51" i="2"/>
  <c r="AJ51" i="2"/>
  <c r="AK51" i="2"/>
  <c r="AL51" i="2"/>
  <c r="AD52" i="2"/>
  <c r="AE52" i="2"/>
  <c r="AF52" i="2"/>
  <c r="AG52" i="2"/>
  <c r="AH52" i="2"/>
  <c r="AI52" i="2"/>
  <c r="AJ52" i="2"/>
  <c r="AK52" i="2"/>
  <c r="AL52" i="2"/>
  <c r="A57" i="2"/>
  <c r="A58" i="2"/>
  <c r="A59" i="2"/>
  <c r="AG61" i="2"/>
  <c r="AE63" i="2"/>
  <c r="AG63" i="2"/>
  <c r="AL80" i="2" s="1"/>
  <c r="AF78" i="2"/>
  <c r="AG78" i="2" s="1"/>
  <c r="AH78" i="2" s="1"/>
  <c r="AI78" i="2" s="1"/>
  <c r="AJ78" i="2" s="1"/>
  <c r="AK78" i="2" s="1"/>
  <c r="AL78" i="2" s="1"/>
  <c r="AG81" i="2"/>
  <c r="AG82" i="2"/>
  <c r="AG83" i="2"/>
  <c r="AG84" i="2"/>
  <c r="AG85" i="2"/>
  <c r="AG86" i="2"/>
  <c r="AG87" i="2"/>
  <c r="AG88" i="2"/>
  <c r="AG89" i="2"/>
  <c r="F10" i="5"/>
  <c r="G14" i="5"/>
  <c r="D51" i="2" s="1"/>
  <c r="C18" i="5"/>
  <c r="C29" i="5"/>
  <c r="F32" i="5" s="1"/>
  <c r="G32" i="5" s="1"/>
  <c r="H32" i="5" s="1"/>
  <c r="I32" i="5" s="1"/>
  <c r="A42" i="5"/>
  <c r="B42" i="5" s="1"/>
  <c r="C42" i="5" s="1"/>
  <c r="G42" i="5"/>
  <c r="H42" i="5"/>
  <c r="M45" i="5"/>
  <c r="M46" i="5"/>
  <c r="M47" i="5"/>
  <c r="M48" i="5"/>
  <c r="B44" i="4"/>
  <c r="L44" i="4" s="1"/>
  <c r="B39" i="4"/>
  <c r="L39" i="4" s="1"/>
  <c r="H69" i="5"/>
  <c r="H68" i="5" s="1"/>
  <c r="AE65" i="2"/>
  <c r="AG65" i="2" s="1"/>
  <c r="AL82" i="2" s="1"/>
  <c r="AE67" i="2"/>
  <c r="AG67" i="2"/>
  <c r="AL84" i="2" s="1"/>
  <c r="AE66" i="2"/>
  <c r="AG66" i="2" s="1"/>
  <c r="AL83" i="2" s="1"/>
  <c r="A98" i="5"/>
  <c r="A86" i="5" s="1"/>
  <c r="AE71" i="2"/>
  <c r="AG71" i="2" s="1"/>
  <c r="AL88" i="2" s="1"/>
  <c r="A72" i="5"/>
  <c r="A100" i="5"/>
  <c r="A92" i="5" s="1"/>
  <c r="K81" i="8"/>
  <c r="F20" i="12"/>
  <c r="F8" i="12" s="1"/>
  <c r="B20" i="4"/>
  <c r="L20" i="4" s="1"/>
  <c r="A82" i="5"/>
  <c r="A85" i="5"/>
  <c r="A88" i="5"/>
  <c r="AE68" i="2"/>
  <c r="AG68" i="2"/>
  <c r="AL85" i="2" s="1"/>
  <c r="AE69" i="2"/>
  <c r="AG69" i="2" s="1"/>
  <c r="AL86" i="2" s="1"/>
  <c r="AE70" i="2"/>
  <c r="AG70" i="2"/>
  <c r="AL87" i="2" s="1"/>
  <c r="E44" i="4"/>
  <c r="E36" i="4" s="1"/>
  <c r="O36" i="4" s="1"/>
  <c r="H76" i="5"/>
  <c r="H72" i="5"/>
  <c r="Q57" i="4"/>
  <c r="AE62" i="2"/>
  <c r="AG62" i="2" s="1"/>
  <c r="AL79" i="2" s="1"/>
  <c r="AE64" i="2"/>
  <c r="AG64" i="2"/>
  <c r="AL81" i="2" s="1"/>
  <c r="G39" i="4"/>
  <c r="G38" i="4" s="1"/>
  <c r="G29" i="4" s="1"/>
  <c r="Q29" i="4" s="1"/>
  <c r="O41" i="4"/>
  <c r="L57" i="4"/>
  <c r="B53" i="4"/>
  <c r="L53" i="4" s="1"/>
  <c r="H82" i="5"/>
  <c r="H85" i="5"/>
  <c r="H88" i="5"/>
  <c r="A24" i="12"/>
  <c r="A23" i="12" s="1"/>
  <c r="Q45" i="4"/>
  <c r="G42" i="4"/>
  <c r="G30" i="4" s="1"/>
  <c r="Q30" i="4" s="1"/>
  <c r="Q49" i="4"/>
  <c r="Q41" i="4"/>
  <c r="G35" i="4"/>
  <c r="Q35" i="4" s="1"/>
  <c r="L33" i="4"/>
  <c r="Q42" i="4"/>
  <c r="AF79" i="2"/>
  <c r="Q39" i="4"/>
  <c r="A33" i="12"/>
  <c r="A31" i="12"/>
  <c r="R22" i="2"/>
  <c r="F8" i="2"/>
  <c r="H49" i="2" s="1"/>
  <c r="B23" i="4"/>
  <c r="B19" i="4" s="1"/>
  <c r="L24" i="4"/>
  <c r="Q24" i="4"/>
  <c r="O33" i="4"/>
  <c r="B14" i="4"/>
  <c r="L14" i="4" s="1"/>
  <c r="A69" i="5"/>
  <c r="A66" i="5" s="1"/>
  <c r="A70" i="5"/>
  <c r="AE85" i="2"/>
  <c r="AF82" i="2"/>
  <c r="AE84" i="2"/>
  <c r="AN78" i="2" l="1"/>
  <c r="AO78" i="2" s="1"/>
  <c r="AM78" i="2"/>
  <c r="H19" i="2"/>
  <c r="E10" i="12"/>
  <c r="H91" i="5"/>
  <c r="Q38" i="4"/>
  <c r="E47" i="4"/>
  <c r="O47" i="4" s="1"/>
  <c r="E32" i="4"/>
  <c r="O32" i="4" s="1"/>
  <c r="B35" i="4"/>
  <c r="L35" i="4" s="1"/>
  <c r="O44" i="4"/>
  <c r="G26" i="4"/>
  <c r="Q26" i="4" s="1"/>
  <c r="B36" i="4"/>
  <c r="L36" i="4" s="1"/>
  <c r="B13" i="4"/>
  <c r="B10" i="4" s="1"/>
  <c r="L18" i="4"/>
  <c r="B28" i="12"/>
  <c r="Q27" i="2"/>
  <c r="R27" i="2" s="1"/>
  <c r="A67" i="5"/>
  <c r="I29" i="5"/>
  <c r="Q29" i="2"/>
  <c r="R29" i="2" s="1"/>
  <c r="H118" i="5"/>
  <c r="H115" i="5" s="1"/>
  <c r="H67" i="5"/>
  <c r="X18" i="2"/>
  <c r="Y11" i="2" s="1"/>
  <c r="Q28" i="2"/>
  <c r="R28" i="2" s="1"/>
  <c r="H95" i="5"/>
  <c r="V6" i="2"/>
  <c r="H49" i="8" s="1"/>
  <c r="AE81" i="2"/>
  <c r="AF87" i="2"/>
  <c r="AE86" i="2"/>
  <c r="AF86" i="2"/>
  <c r="AE88" i="2"/>
  <c r="AE83" i="2"/>
  <c r="I14" i="2"/>
  <c r="C18" i="2" s="1"/>
  <c r="C19" i="2" s="1"/>
  <c r="B23" i="2"/>
  <c r="AE82" i="2"/>
  <c r="AH23" i="2"/>
  <c r="AF84" i="2"/>
  <c r="AE79" i="2"/>
  <c r="AF83" i="2"/>
  <c r="R8" i="2"/>
  <c r="L49" i="8" s="1"/>
  <c r="AF88" i="2"/>
  <c r="AE87" i="2"/>
  <c r="G8" i="2"/>
  <c r="X22" i="2"/>
  <c r="AD61" i="2"/>
  <c r="R6" i="2"/>
  <c r="D49" i="8" s="1"/>
  <c r="AF89" i="2"/>
  <c r="AF81" i="2"/>
  <c r="AE80" i="2"/>
  <c r="AF80" i="2"/>
  <c r="P25" i="2"/>
  <c r="AF85" i="2"/>
  <c r="A46" i="5"/>
  <c r="O40" i="2" s="1"/>
  <c r="W15" i="2"/>
  <c r="X10" i="2" s="1"/>
  <c r="G49" i="2" s="1"/>
  <c r="A51" i="5"/>
  <c r="O45" i="2" s="1"/>
  <c r="AD87" i="2" s="1"/>
  <c r="B32" i="4"/>
  <c r="L32" i="4" s="1"/>
  <c r="B42" i="4"/>
  <c r="G13" i="4"/>
  <c r="G11" i="4" s="1"/>
  <c r="Q11" i="4" s="1"/>
  <c r="G17" i="4"/>
  <c r="G15" i="4" s="1"/>
  <c r="Q23" i="4"/>
  <c r="L23" i="4"/>
  <c r="E53" i="4"/>
  <c r="O53" i="4" s="1"/>
  <c r="G20" i="4"/>
  <c r="Q20" i="4" s="1"/>
  <c r="E38" i="4"/>
  <c r="O39" i="4"/>
  <c r="Q18" i="4"/>
  <c r="G44" i="4"/>
  <c r="G47" i="4"/>
  <c r="Q47" i="4" s="1"/>
  <c r="B29" i="4"/>
  <c r="L29" i="4" s="1"/>
  <c r="B47" i="4"/>
  <c r="L47" i="4" s="1"/>
  <c r="O49" i="4"/>
  <c r="G32" i="4"/>
  <c r="Q32" i="4" s="1"/>
  <c r="B16" i="4"/>
  <c r="L16" i="4" s="1"/>
  <c r="B26" i="4"/>
  <c r="L26" i="4" s="1"/>
  <c r="E42" i="4"/>
  <c r="E35" i="4"/>
  <c r="O35" i="4" s="1"/>
  <c r="G14" i="4"/>
  <c r="Q14" i="4" s="1"/>
  <c r="G16" i="4"/>
  <c r="Q16" i="4" s="1"/>
  <c r="G5" i="12"/>
  <c r="G17" i="12"/>
  <c r="B31" i="12"/>
  <c r="F14" i="12"/>
  <c r="E17" i="12"/>
  <c r="E5" i="12"/>
  <c r="C33" i="12"/>
  <c r="C31" i="12"/>
  <c r="A22" i="12"/>
  <c r="A20" i="12"/>
  <c r="A19" i="12" s="1"/>
  <c r="A17" i="12" s="1"/>
  <c r="F10" i="12"/>
  <c r="F5" i="12"/>
  <c r="G10" i="12"/>
  <c r="G14" i="12"/>
  <c r="B22" i="12"/>
  <c r="B20" i="12"/>
  <c r="B19" i="12" s="1"/>
  <c r="B17" i="12" s="1"/>
  <c r="C22" i="12"/>
  <c r="C20" i="12"/>
  <c r="C19" i="12" s="1"/>
  <c r="C17" i="12" s="1"/>
  <c r="F13" i="12"/>
  <c r="H66" i="5"/>
  <c r="H65" i="5" s="1"/>
  <c r="H70" i="5"/>
  <c r="H73" i="5"/>
  <c r="H71" i="5" s="1"/>
  <c r="A91" i="5"/>
  <c r="W31" i="2"/>
  <c r="G18" i="2" s="1"/>
  <c r="I83" i="8" s="1"/>
  <c r="S30" i="2"/>
  <c r="A68" i="5"/>
  <c r="H98" i="5"/>
  <c r="H86" i="5" s="1"/>
  <c r="A53" i="5"/>
  <c r="O47" i="2" s="1"/>
  <c r="A52" i="5"/>
  <c r="A118" i="5"/>
  <c r="A112" i="5" s="1"/>
  <c r="Q30" i="2"/>
  <c r="R30" i="2" s="1"/>
  <c r="A48" i="5"/>
  <c r="H112" i="5"/>
  <c r="A47" i="5"/>
  <c r="O41" i="2" s="1"/>
  <c r="A49" i="5"/>
  <c r="O43" i="2" s="1"/>
  <c r="A44" i="5"/>
  <c r="H29" i="5"/>
  <c r="AG32" i="2"/>
  <c r="G19" i="2" s="1"/>
  <c r="H103" i="5"/>
  <c r="A45" i="5"/>
  <c r="F11" i="5"/>
  <c r="A50" i="5"/>
  <c r="A65" i="5"/>
  <c r="A64" i="5"/>
  <c r="A115" i="5"/>
  <c r="B87" i="8"/>
  <c r="O37" i="2"/>
  <c r="O36" i="2"/>
  <c r="P36" i="2" s="1"/>
  <c r="Q36" i="2" s="1"/>
  <c r="AG80" i="2" l="1"/>
  <c r="A63" i="5"/>
  <c r="A61" i="5"/>
  <c r="V22" i="2"/>
  <c r="B18" i="2" s="1"/>
  <c r="G83" i="8" s="1"/>
  <c r="B29" i="5"/>
  <c r="Q22" i="2"/>
  <c r="F9" i="2" s="1"/>
  <c r="C77" i="8" s="1"/>
  <c r="B18" i="5"/>
  <c r="Q31" i="2"/>
  <c r="H14" i="2" s="1"/>
  <c r="D82" i="8" s="1"/>
  <c r="G12" i="4"/>
  <c r="Q12" i="4" s="1"/>
  <c r="Q13" i="4"/>
  <c r="B11" i="4"/>
  <c r="L11" i="4" s="1"/>
  <c r="L13" i="4"/>
  <c r="B12" i="4"/>
  <c r="L12" i="4" s="1"/>
  <c r="B90" i="8"/>
  <c r="Q25" i="2"/>
  <c r="R31" i="2"/>
  <c r="R25" i="2"/>
  <c r="O39" i="2"/>
  <c r="B26" i="2" s="1"/>
  <c r="AM61" i="2"/>
  <c r="AM63" i="2" s="1"/>
  <c r="AE60" i="2" s="1"/>
  <c r="D53" i="5"/>
  <c r="B27" i="2"/>
  <c r="AD11" i="2"/>
  <c r="AD65" i="2"/>
  <c r="AD82" i="2"/>
  <c r="AD16" i="2"/>
  <c r="AD70" i="2"/>
  <c r="G10" i="4"/>
  <c r="Q10" i="4" s="1"/>
  <c r="L42" i="4"/>
  <c r="B30" i="4"/>
  <c r="G9" i="4"/>
  <c r="G7" i="4" s="1"/>
  <c r="L10" i="4"/>
  <c r="B9" i="4"/>
  <c r="B7" i="4" s="1"/>
  <c r="B8" i="4"/>
  <c r="E30" i="4"/>
  <c r="O30" i="4" s="1"/>
  <c r="O42" i="4"/>
  <c r="Q44" i="4"/>
  <c r="G36" i="4"/>
  <c r="Q36" i="4" s="1"/>
  <c r="O38" i="4"/>
  <c r="E26" i="4"/>
  <c r="O26" i="4" s="1"/>
  <c r="E29" i="4"/>
  <c r="O29" i="4" s="1"/>
  <c r="A18" i="12"/>
  <c r="A15" i="12"/>
  <c r="A16" i="12"/>
  <c r="C16" i="12"/>
  <c r="C15" i="12"/>
  <c r="C18" i="12"/>
  <c r="B15" i="12"/>
  <c r="B16" i="12"/>
  <c r="B18" i="12"/>
  <c r="H64" i="5"/>
  <c r="O38" i="2"/>
  <c r="AD63" i="2" s="1"/>
  <c r="B88" i="8"/>
  <c r="O42" i="2"/>
  <c r="O44" i="2"/>
  <c r="B89" i="8"/>
  <c r="O46" i="2"/>
  <c r="D51" i="5"/>
  <c r="A60" i="5"/>
  <c r="A62" i="5"/>
  <c r="D52" i="5"/>
  <c r="AD62" i="2"/>
  <c r="AD8" i="2"/>
  <c r="AD79" i="2"/>
  <c r="B24" i="2"/>
  <c r="AD85" i="2"/>
  <c r="AD68" i="2"/>
  <c r="AD14" i="2"/>
  <c r="AD89" i="2"/>
  <c r="AD72" i="2"/>
  <c r="AD18" i="2"/>
  <c r="AD66" i="2"/>
  <c r="B28" i="2"/>
  <c r="B91" i="8" s="1"/>
  <c r="AD12" i="2"/>
  <c r="AD83" i="2"/>
  <c r="H61" i="5" l="1"/>
  <c r="H63" i="5"/>
  <c r="D50" i="5"/>
  <c r="H52" i="5"/>
  <c r="AG17" i="2" s="1"/>
  <c r="AI17" i="2" s="1"/>
  <c r="AK88" i="2" s="1"/>
  <c r="G8" i="4"/>
  <c r="Q8" i="4" s="1"/>
  <c r="L9" i="4"/>
  <c r="B5" i="4"/>
  <c r="Q9" i="4"/>
  <c r="G5" i="4"/>
  <c r="AD64" i="2"/>
  <c r="P32" i="2"/>
  <c r="AH79" i="2" s="1"/>
  <c r="AD81" i="2"/>
  <c r="AD10" i="2"/>
  <c r="AD9" i="2"/>
  <c r="L30" i="4"/>
  <c r="H53" i="5"/>
  <c r="AG18" i="2" s="1"/>
  <c r="B6" i="4"/>
  <c r="B4" i="4"/>
  <c r="L8" i="4"/>
  <c r="H51" i="5"/>
  <c r="AG16" i="2" s="1"/>
  <c r="G6" i="4"/>
  <c r="Q6" i="4" s="1"/>
  <c r="G4" i="4"/>
  <c r="A13" i="12"/>
  <c r="A14" i="12"/>
  <c r="A12" i="12"/>
  <c r="C12" i="12"/>
  <c r="C14" i="12"/>
  <c r="C13" i="12"/>
  <c r="B12" i="12"/>
  <c r="B13" i="12"/>
  <c r="B14" i="12"/>
  <c r="H60" i="5"/>
  <c r="H62" i="5"/>
  <c r="AD80" i="2"/>
  <c r="B25" i="2"/>
  <c r="AD69" i="2"/>
  <c r="AD15" i="2"/>
  <c r="AD86" i="2"/>
  <c r="AD67" i="2"/>
  <c r="AD13" i="2"/>
  <c r="AD84" i="2"/>
  <c r="AD71" i="2"/>
  <c r="AD17" i="2"/>
  <c r="AD88" i="2"/>
  <c r="A59" i="5"/>
  <c r="D48" i="5" s="1"/>
  <c r="A58" i="5"/>
  <c r="D49" i="5"/>
  <c r="AH17" i="2" l="1"/>
  <c r="AJ88" i="2" s="1"/>
  <c r="AH81" i="2"/>
  <c r="AH83" i="2"/>
  <c r="AH88" i="2"/>
  <c r="AH86" i="2"/>
  <c r="AH87" i="2"/>
  <c r="AH82" i="2"/>
  <c r="AH85" i="2"/>
  <c r="AH80" i="2"/>
  <c r="AH89" i="2"/>
  <c r="AH84" i="2"/>
  <c r="AH18" i="2"/>
  <c r="AJ89" i="2" s="1"/>
  <c r="AI18" i="2"/>
  <c r="AK89" i="2" s="1"/>
  <c r="AI16" i="2"/>
  <c r="AK87" i="2" s="1"/>
  <c r="AH16" i="2"/>
  <c r="AJ87" i="2" s="1"/>
  <c r="G2" i="4"/>
  <c r="Q2" i="4" s="1"/>
  <c r="G3" i="4"/>
  <c r="Q3" i="4" s="1"/>
  <c r="Q4" i="4"/>
  <c r="B3" i="4"/>
  <c r="B2" i="4"/>
  <c r="L4" i="4"/>
  <c r="H49" i="5"/>
  <c r="AG14" i="2" s="1"/>
  <c r="L6" i="4"/>
  <c r="H50" i="5"/>
  <c r="AG15" i="2" s="1"/>
  <c r="A11" i="12"/>
  <c r="A10" i="12"/>
  <c r="G53" i="5"/>
  <c r="AF18" i="2" s="1"/>
  <c r="AI89" i="2" s="1"/>
  <c r="F53" i="5"/>
  <c r="AE18" i="2" s="1"/>
  <c r="AM89" i="2" s="1"/>
  <c r="B11" i="12"/>
  <c r="B10" i="12"/>
  <c r="C11" i="12"/>
  <c r="C10" i="12"/>
  <c r="H58" i="5"/>
  <c r="H59" i="5"/>
  <c r="D47" i="5"/>
  <c r="D44" i="5"/>
  <c r="D43" i="5"/>
  <c r="D46" i="5"/>
  <c r="D45" i="5"/>
  <c r="C7" i="12" l="1"/>
  <c r="C9" i="12"/>
  <c r="B7" i="12"/>
  <c r="B9" i="12"/>
  <c r="A7" i="12"/>
  <c r="A9" i="12"/>
  <c r="AN89" i="2"/>
  <c r="AO89" i="2" s="1"/>
  <c r="AI15" i="2"/>
  <c r="AK86" i="2" s="1"/>
  <c r="AH15" i="2"/>
  <c r="AJ86" i="2" s="1"/>
  <c r="L2" i="4"/>
  <c r="H43" i="5"/>
  <c r="AG8" i="2" s="1"/>
  <c r="H46" i="5"/>
  <c r="AG11" i="2" s="1"/>
  <c r="H45" i="5"/>
  <c r="AG10" i="2" s="1"/>
  <c r="H44" i="5"/>
  <c r="AG9" i="2" s="1"/>
  <c r="H47" i="5"/>
  <c r="AG12" i="2" s="1"/>
  <c r="L3" i="4"/>
  <c r="H48" i="5"/>
  <c r="AG13" i="2" s="1"/>
  <c r="AH14" i="2"/>
  <c r="AJ85" i="2" s="1"/>
  <c r="AI14" i="2"/>
  <c r="AK85" i="2" s="1"/>
  <c r="A8" i="12"/>
  <c r="F51" i="5"/>
  <c r="AE16" i="2" s="1"/>
  <c r="AM87" i="2" s="1"/>
  <c r="A6" i="12"/>
  <c r="G51" i="5"/>
  <c r="AF16" i="2" s="1"/>
  <c r="AI87" i="2" s="1"/>
  <c r="AN87" i="2" s="1"/>
  <c r="AO87" i="2" s="1"/>
  <c r="F52" i="5"/>
  <c r="AE17" i="2" s="1"/>
  <c r="AM88" i="2" s="1"/>
  <c r="G52" i="5"/>
  <c r="AF17" i="2" s="1"/>
  <c r="AI88" i="2" s="1"/>
  <c r="AN88" i="2" s="1"/>
  <c r="AO88" i="2" s="1"/>
  <c r="B6" i="12"/>
  <c r="B8" i="12"/>
  <c r="C8" i="12"/>
  <c r="C6" i="12"/>
  <c r="AH8" i="2" l="1"/>
  <c r="AJ79" i="2" s="1"/>
  <c r="AI8" i="2"/>
  <c r="AK79" i="2" s="1"/>
  <c r="AH9" i="2"/>
  <c r="AJ80" i="2" s="1"/>
  <c r="AI9" i="2"/>
  <c r="AK80" i="2" s="1"/>
  <c r="AH13" i="2"/>
  <c r="AJ84" i="2" s="1"/>
  <c r="AI13" i="2"/>
  <c r="AK84" i="2" s="1"/>
  <c r="AH10" i="2"/>
  <c r="AJ81" i="2" s="1"/>
  <c r="AI10" i="2"/>
  <c r="AK81" i="2" s="1"/>
  <c r="AI12" i="2"/>
  <c r="AK83" i="2" s="1"/>
  <c r="AH12" i="2"/>
  <c r="AJ83" i="2" s="1"/>
  <c r="AI11" i="2"/>
  <c r="AK82" i="2" s="1"/>
  <c r="AH11" i="2"/>
  <c r="AJ82" i="2" s="1"/>
  <c r="F49" i="5"/>
  <c r="AE14" i="2" s="1"/>
  <c r="AM85" i="2" s="1"/>
  <c r="G49" i="5"/>
  <c r="AF14" i="2" s="1"/>
  <c r="AI85" i="2" s="1"/>
  <c r="AN85" i="2" s="1"/>
  <c r="AO85" i="2" s="1"/>
  <c r="A4" i="12"/>
  <c r="A5" i="12"/>
  <c r="G50" i="5"/>
  <c r="AF15" i="2" s="1"/>
  <c r="AI86" i="2" s="1"/>
  <c r="AN86" i="2" s="1"/>
  <c r="AO86" i="2" s="1"/>
  <c r="F50" i="5"/>
  <c r="AE15" i="2" s="1"/>
  <c r="AM86" i="2" s="1"/>
  <c r="C5" i="12"/>
  <c r="C4" i="12"/>
  <c r="B4" i="12"/>
  <c r="B5" i="12"/>
  <c r="F44" i="5" l="1"/>
  <c r="AE9" i="2" s="1"/>
  <c r="AM80" i="2" s="1"/>
  <c r="C25" i="2" s="1"/>
  <c r="C88" i="8" s="1"/>
  <c r="G44" i="5"/>
  <c r="AF9" i="2" s="1"/>
  <c r="AI80" i="2" s="1"/>
  <c r="AN80" i="2" s="1"/>
  <c r="AO80" i="2" s="1"/>
  <c r="D25" i="2" s="1"/>
  <c r="D88" i="8" s="1"/>
  <c r="F46" i="5"/>
  <c r="AE11" i="2" s="1"/>
  <c r="AM82" i="2" s="1"/>
  <c r="C27" i="2" s="1"/>
  <c r="C90" i="8" s="1"/>
  <c r="G47" i="5"/>
  <c r="AF12" i="2" s="1"/>
  <c r="AI83" i="2" s="1"/>
  <c r="AN83" i="2" s="1"/>
  <c r="AO83" i="2" s="1"/>
  <c r="D28" i="2" s="1"/>
  <c r="D91" i="8" s="1"/>
  <c r="G46" i="5"/>
  <c r="F47" i="5"/>
  <c r="AE12" i="2" s="1"/>
  <c r="AM83" i="2" s="1"/>
  <c r="C28" i="2" s="1"/>
  <c r="C91" i="8" s="1"/>
  <c r="F45" i="5"/>
  <c r="AE10" i="2" s="1"/>
  <c r="AM81" i="2" s="1"/>
  <c r="C26" i="2" s="1"/>
  <c r="C89" i="8" s="1"/>
  <c r="G45" i="5"/>
  <c r="AF10" i="2" s="1"/>
  <c r="AI81" i="2" s="1"/>
  <c r="AN81" i="2" s="1"/>
  <c r="AO81" i="2" s="1"/>
  <c r="D26" i="2" s="1"/>
  <c r="D89" i="8" s="1"/>
  <c r="F48" i="5"/>
  <c r="AE13" i="2" s="1"/>
  <c r="AM84" i="2" s="1"/>
  <c r="G48" i="5"/>
  <c r="AF13" i="2" s="1"/>
  <c r="AI84" i="2" s="1"/>
  <c r="AN84" i="2" s="1"/>
  <c r="AO84" i="2" s="1"/>
  <c r="F43" i="5"/>
  <c r="AE8" i="2" s="1"/>
  <c r="AM79" i="2" s="1"/>
  <c r="C24" i="2" s="1"/>
  <c r="C87" i="8" s="1"/>
  <c r="AF11" i="2"/>
  <c r="AI82" i="2" s="1"/>
  <c r="AN82" i="2" s="1"/>
  <c r="AO82" i="2" s="1"/>
  <c r="D27" i="2" s="1"/>
  <c r="D90" i="8" s="1"/>
  <c r="G43" i="5"/>
  <c r="AF8" i="2" s="1"/>
  <c r="AI79" i="2" s="1"/>
  <c r="AN79" i="2" s="1"/>
  <c r="AO79" i="2" s="1"/>
  <c r="D24" i="2" s="1"/>
  <c r="D87" i="8" s="1"/>
</calcChain>
</file>

<file path=xl/sharedStrings.xml><?xml version="1.0" encoding="utf-8"?>
<sst xmlns="http://schemas.openxmlformats.org/spreadsheetml/2006/main" count="534" uniqueCount="397">
  <si>
    <t>CARGA:</t>
  </si>
  <si>
    <t>±</t>
  </si>
  <si>
    <t>PRUEBA DE REPETIBILIDAD:</t>
  </si>
  <si>
    <t>PRUEBA DE CARGA EXCÉNTRICA:</t>
  </si>
  <si>
    <t>DESVIACIÓN ESTÁNDAR DEL INSTRUMENTO</t>
  </si>
  <si>
    <t>FECHA DE CALIBRACIÓN</t>
  </si>
  <si>
    <t>%</t>
  </si>
  <si>
    <t>Instrumento:</t>
  </si>
  <si>
    <t>d:</t>
  </si>
  <si>
    <t>Temperatura de las pesas:</t>
  </si>
  <si>
    <t>Densidad de las pesas:</t>
  </si>
  <si>
    <t>Nota:</t>
  </si>
  <si>
    <t>Condiciones ambientales y carácterísticas de los equipos</t>
  </si>
  <si>
    <t>Magnitud</t>
  </si>
  <si>
    <t>Valor inicial</t>
  </si>
  <si>
    <t>Valor final</t>
  </si>
  <si>
    <t>División mínima del instrumento (d)</t>
  </si>
  <si>
    <t>Corrección del instrumento</t>
  </si>
  <si>
    <t>Unidades</t>
  </si>
  <si>
    <t>Temp. ambiental</t>
  </si>
  <si>
    <t>°C</t>
  </si>
  <si>
    <t>H. relativa</t>
  </si>
  <si>
    <t>Presión</t>
  </si>
  <si>
    <t>hPa</t>
  </si>
  <si>
    <t>Resultados de la calibración</t>
  </si>
  <si>
    <t>Carga de prueba:</t>
  </si>
  <si>
    <t>Posición</t>
  </si>
  <si>
    <t>Numero de prueba</t>
  </si>
  <si>
    <t>u (ecc)=</t>
  </si>
  <si>
    <t>Relativo</t>
  </si>
  <si>
    <t>Carga</t>
  </si>
  <si>
    <t>Observaciones:</t>
  </si>
  <si>
    <t>PRUEBA DE EXACTITUD:</t>
  </si>
  <si>
    <t>ZONA</t>
  </si>
  <si>
    <t>Masa convencional y deriva de las pesas</t>
  </si>
  <si>
    <t>EMT</t>
  </si>
  <si>
    <t>Cambio  en gramos para pesas patrón, para diferencias de temperatura seleccionadas (convección)</t>
  </si>
  <si>
    <t>Corrección e incertidumbre por convección</t>
  </si>
  <si>
    <t>Corrección e incertidumbres por efecto de convección</t>
  </si>
  <si>
    <t>Repetibilidad</t>
  </si>
  <si>
    <t>Carga exc</t>
  </si>
  <si>
    <t>Masa conv</t>
  </si>
  <si>
    <t>Empuje</t>
  </si>
  <si>
    <t>Deriva pesas</t>
  </si>
  <si>
    <t>Convección</t>
  </si>
  <si>
    <t>Error</t>
  </si>
  <si>
    <t>u comb</t>
  </si>
  <si>
    <t>s</t>
  </si>
  <si>
    <t>NOTA:</t>
  </si>
  <si>
    <t>VALOR  NOMINAL</t>
  </si>
  <si>
    <t>Alcance Max:</t>
  </si>
  <si>
    <t xml:space="preserve">CARGA NOMINAL      </t>
  </si>
  <si>
    <t>TABLA DE INCERTIDUMBRES</t>
  </si>
  <si>
    <t>Prueba de exactitud Acendente</t>
  </si>
  <si>
    <t>ID</t>
  </si>
  <si>
    <t>20 kg</t>
  </si>
  <si>
    <t>Temperatura ambiente promedio:</t>
  </si>
  <si>
    <t>Humedad relativa promedio:</t>
  </si>
  <si>
    <t>⁰C</t>
  </si>
  <si>
    <t xml:space="preserve">dmc           </t>
  </si>
  <si>
    <t>u (dmB)</t>
  </si>
  <si>
    <t>u (dmD)</t>
  </si>
  <si>
    <r>
      <t>kg/m</t>
    </r>
    <r>
      <rPr>
        <vertAlign val="superscript"/>
        <sz val="9"/>
        <rFont val="Times New Roman"/>
        <family val="1"/>
      </rPr>
      <t>3</t>
    </r>
  </si>
  <si>
    <t>Dt en grados Celsius</t>
  </si>
  <si>
    <t>Dt C°</t>
  </si>
  <si>
    <t xml:space="preserve">u (dmconv) </t>
  </si>
  <si>
    <r>
      <t>DT</t>
    </r>
    <r>
      <rPr>
        <vertAlign val="subscript"/>
        <sz val="10"/>
        <rFont val="Times New Roman"/>
        <family val="1"/>
      </rPr>
      <t>conv</t>
    </r>
    <r>
      <rPr>
        <sz val="10"/>
        <rFont val="Times New Roman"/>
        <family val="1"/>
      </rPr>
      <t>=</t>
    </r>
  </si>
  <si>
    <r>
      <t>I</t>
    </r>
    <r>
      <rPr>
        <b/>
        <vertAlign val="subscript"/>
        <sz val="10"/>
        <rFont val="Times New Roman"/>
        <family val="1"/>
      </rPr>
      <t>0</t>
    </r>
  </si>
  <si>
    <r>
      <t>I</t>
    </r>
    <r>
      <rPr>
        <b/>
        <vertAlign val="subscript"/>
        <sz val="10"/>
        <rFont val="Times New Roman"/>
        <family val="1"/>
      </rPr>
      <t>L</t>
    </r>
  </si>
  <si>
    <r>
      <t>dI</t>
    </r>
    <r>
      <rPr>
        <b/>
        <vertAlign val="subscript"/>
        <sz val="10"/>
        <rFont val="Times New Roman"/>
        <family val="1"/>
      </rPr>
      <t>ecc</t>
    </r>
  </si>
  <si>
    <r>
      <t>IdI</t>
    </r>
    <r>
      <rPr>
        <b/>
        <vertAlign val="subscript"/>
        <sz val="10"/>
        <rFont val="Times New Roman"/>
        <family val="1"/>
      </rPr>
      <t>ecc</t>
    </r>
    <r>
      <rPr>
        <b/>
        <sz val="10"/>
        <rFont val="Times New Roman"/>
        <family val="1"/>
      </rPr>
      <t>I</t>
    </r>
  </si>
  <si>
    <r>
      <t>u (dm</t>
    </r>
    <r>
      <rPr>
        <b/>
        <vertAlign val="subscript"/>
        <sz val="10"/>
        <rFont val="Times New Roman"/>
        <family val="1"/>
      </rPr>
      <t>c</t>
    </r>
    <r>
      <rPr>
        <b/>
        <sz val="10"/>
        <rFont val="Times New Roman"/>
        <family val="1"/>
      </rPr>
      <t>)</t>
    </r>
  </si>
  <si>
    <t>m en g</t>
  </si>
  <si>
    <t>g</t>
  </si>
  <si>
    <t>Modelo:</t>
  </si>
  <si>
    <t>Serie:</t>
  </si>
  <si>
    <t>ERROR DE INDICACION</t>
  </si>
  <si>
    <t>s=</t>
  </si>
  <si>
    <t>No. De Ctrl:</t>
  </si>
  <si>
    <t>la carga se aplicara por lo menos 5 veces y al menos 3 veces</t>
  </si>
  <si>
    <t xml:space="preserve"> cuando L ≥ 100 kg</t>
  </si>
  <si>
    <t>Presion barometrica:</t>
  </si>
  <si>
    <t>Fecha de Recepcion:</t>
  </si>
  <si>
    <t>Fecha de Calibracion:</t>
  </si>
  <si>
    <t>Fecha de Emision:</t>
  </si>
  <si>
    <t>Vigencia Acordada:</t>
  </si>
  <si>
    <t>Prueba de carga excéntrica  ( 1/3 a 1/2 de Max )</t>
  </si>
  <si>
    <t>Incertidumbre del       instrumento          (k = 1)</t>
  </si>
  <si>
    <t>Efecto de carga excentrica:</t>
  </si>
  <si>
    <t>EFECTO DE CARGA EXCENTRICA</t>
  </si>
  <si>
    <t xml:space="preserve">   **Ue k=2         ±</t>
  </si>
  <si>
    <t>INDICACION</t>
  </si>
  <si>
    <t>TIEMPO DE ESTABILIZACION</t>
  </si>
  <si>
    <t>UNIDADES:</t>
  </si>
  <si>
    <t>n</t>
  </si>
  <si>
    <t>Tiempo max</t>
  </si>
  <si>
    <t>TIEMPO DE ESTABILIZACION DE:</t>
  </si>
  <si>
    <t>TIEMPO DE ESTABILIZACIÓN SE REALIZO CON 3 LECTURAS A UNA CARGA DE:</t>
  </si>
  <si>
    <t>t</t>
  </si>
  <si>
    <t>c</t>
  </si>
  <si>
    <t>Antes de realizar la prueba la indicacion se ajusta a cero</t>
  </si>
  <si>
    <t>Temperatura ambiente:</t>
  </si>
  <si>
    <t>DATOS OBTENIDOS EN IPFNA</t>
  </si>
  <si>
    <t>PROCEDIMIENTO:</t>
  </si>
  <si>
    <t>Prueba de repetibilidad ( carga total entre el 50 %</t>
  </si>
  <si>
    <t>Prueba de repetibilidad ( carga total entre el 100 %</t>
  </si>
  <si>
    <t>Representación de una medición típica de un instrumento para pesar.</t>
  </si>
  <si>
    <t>Carga Excentrica</t>
  </si>
  <si>
    <t>Prueba de repetibilidad</t>
  </si>
  <si>
    <t>Prueba de exactitud</t>
  </si>
  <si>
    <t>Indicacion sin carga</t>
  </si>
  <si>
    <t>Indicacion con carga</t>
  </si>
  <si>
    <t>U exp k=2</t>
  </si>
  <si>
    <t>HOJA DE TRABAJO DE IPFNA</t>
  </si>
  <si>
    <t>PRUEBA DE REPETIBILIDAD</t>
  </si>
  <si>
    <t>OBSERVACIONES:</t>
  </si>
  <si>
    <t>PLATOS DE PESADA</t>
  </si>
  <si>
    <t>Prueba de repetibilidad                           ( carga total entre el 100 %)</t>
  </si>
  <si>
    <t>VALOR NOMINAL</t>
  </si>
  <si>
    <t>Clase E1</t>
  </si>
  <si>
    <t>Clase E2</t>
  </si>
  <si>
    <t>Clase F1</t>
  </si>
  <si>
    <t>Clase F2</t>
  </si>
  <si>
    <t>Clase M1</t>
  </si>
  <si>
    <t>Clase M2</t>
  </si>
  <si>
    <t>Clase M3</t>
  </si>
  <si>
    <t>50 kg</t>
  </si>
  <si>
    <t>10 kg</t>
  </si>
  <si>
    <t>5 kg</t>
  </si>
  <si>
    <t>2 kg</t>
  </si>
  <si>
    <t>1 kg</t>
  </si>
  <si>
    <t>500 g</t>
  </si>
  <si>
    <t>200 g</t>
  </si>
  <si>
    <t>100 g</t>
  </si>
  <si>
    <t>20 g</t>
  </si>
  <si>
    <t>10 g</t>
  </si>
  <si>
    <t>5 g</t>
  </si>
  <si>
    <t>2 g</t>
  </si>
  <si>
    <t>1 g</t>
  </si>
  <si>
    <t>500 mg</t>
  </si>
  <si>
    <t>200 mg</t>
  </si>
  <si>
    <t>100 mg</t>
  </si>
  <si>
    <t>50 mg</t>
  </si>
  <si>
    <t>20 mg</t>
  </si>
  <si>
    <t>10 mg</t>
  </si>
  <si>
    <t>5 mg</t>
  </si>
  <si>
    <t>2 mg</t>
  </si>
  <si>
    <t>1 mg</t>
  </si>
  <si>
    <t>en mg</t>
  </si>
  <si>
    <t xml:space="preserve"> en g</t>
  </si>
  <si>
    <t>CAMBIO EN GRAMOS PARA PESAS PATRON, PARA DIFERENCIAS DE TEMPERATURA SELECCIONADAS (CONVECCIÓN)</t>
  </si>
  <si>
    <t>Dt en °C</t>
  </si>
  <si>
    <t>Comentarios:</t>
  </si>
  <si>
    <t>1.-Se encontro la bascula en correcta nivelacion, se realizo limpieza superficial a plato de pesada,</t>
  </si>
  <si>
    <t>**Ue: La incertidumbre de medicion se expresa a un nivel de confizna de aproximadamente del 95% con un factor de cobertura k=2, y se considera la heredada por los patrones utilizados y la originada por la variabilidad del IBC(NMX-CH-140:2002 IMNC).</t>
  </si>
  <si>
    <t>*Los resultados y los niveles de incertidumbres declarados en este informe correspondiente exclusivamente al instrumento descrito en el momento de la calibracion  CALIBRACION.</t>
  </si>
  <si>
    <t>Nota: se realizaran solo 3 pruebas cuando &gt;100 kg</t>
  </si>
  <si>
    <t>u (Vmc)</t>
  </si>
  <si>
    <t>Vmc</t>
  </si>
  <si>
    <t xml:space="preserve">3.-Se realizo ajuste interno del instrumento según instructivo </t>
  </si>
  <si>
    <t>Dt °C</t>
  </si>
  <si>
    <t>2.-Se realizaron precargas con una carga de 250 g para tomar el tiempo de establizacion que se estimo en 4 segundos.</t>
  </si>
  <si>
    <t>CERTIFICADO DE CALIBRACION</t>
  </si>
  <si>
    <t>F1</t>
  </si>
  <si>
    <t>Clase</t>
  </si>
  <si>
    <t>CALIBRACIONES E INSTRUMENTOS</t>
  </si>
  <si>
    <t xml:space="preserve">Calle Brillante # 1576, Col. Mariano Otero, C.P.45067, Zapopan, Jalisco   </t>
  </si>
  <si>
    <t xml:space="preserve">Cert. No: </t>
  </si>
  <si>
    <t>Orden de Servicio:</t>
  </si>
  <si>
    <t>Empresa:</t>
  </si>
  <si>
    <t>Company</t>
  </si>
  <si>
    <t>Address</t>
  </si>
  <si>
    <t>Atención:</t>
  </si>
  <si>
    <t>Attention</t>
  </si>
  <si>
    <t>Alcance:</t>
  </si>
  <si>
    <t>Instrument</t>
  </si>
  <si>
    <t>Marca:</t>
  </si>
  <si>
    <t>Manufacturer</t>
  </si>
  <si>
    <t>Modelo</t>
  </si>
  <si>
    <t>Identificación</t>
  </si>
  <si>
    <t>Model</t>
  </si>
  <si>
    <t>N° de Serie</t>
  </si>
  <si>
    <t>Serial Number</t>
  </si>
  <si>
    <t>Calibration Place</t>
  </si>
  <si>
    <t>Fecha de recepción:</t>
  </si>
  <si>
    <t>Fecha de calibración:</t>
  </si>
  <si>
    <t>Reception date</t>
  </si>
  <si>
    <t>Calibration date</t>
  </si>
  <si>
    <t xml:space="preserve">Fecha de Emisión: </t>
  </si>
  <si>
    <t>Date of Issue</t>
  </si>
  <si>
    <t>Next Calibration</t>
  </si>
  <si>
    <t>Instrumento</t>
  </si>
  <si>
    <t>Trazabilidad</t>
  </si>
  <si>
    <t>No. Certificado</t>
  </si>
  <si>
    <t>Vigencia</t>
  </si>
  <si>
    <t>Trazability</t>
  </si>
  <si>
    <t>Certificate No.</t>
  </si>
  <si>
    <t>Next Calibration Date</t>
  </si>
  <si>
    <t>Humedad Relativa:</t>
  </si>
  <si>
    <t>Relative Humidity</t>
  </si>
  <si>
    <t xml:space="preserve">Observaciones:   </t>
  </si>
  <si>
    <t xml:space="preserve">Observations   </t>
  </si>
  <si>
    <t xml:space="preserve">Procedimiento:   </t>
  </si>
  <si>
    <t xml:space="preserve">Procedure   </t>
  </si>
  <si>
    <t xml:space="preserve">Condición Inicial:   </t>
  </si>
  <si>
    <t xml:space="preserve">Initial condition   </t>
  </si>
  <si>
    <t xml:space="preserve">Condición Final:   </t>
  </si>
  <si>
    <t xml:space="preserve">Final condition   </t>
  </si>
  <si>
    <t xml:space="preserve">Método:   </t>
  </si>
  <si>
    <t xml:space="preserve">Norma:   </t>
  </si>
  <si>
    <t xml:space="preserve">Method   </t>
  </si>
  <si>
    <t xml:space="preserve">Norm   </t>
  </si>
  <si>
    <t>Calibró:</t>
  </si>
  <si>
    <t>Autorizó:</t>
  </si>
  <si>
    <t>Pagina 1 de 2</t>
  </si>
  <si>
    <t>RESULTADOS DE CALIBRACIÓN</t>
  </si>
  <si>
    <t>El presente Certificado ampara solo las mediciones y los resultados reportados en el momento  y en las condiciones en que se realizó la calibración.</t>
  </si>
  <si>
    <t>Este Certificado tiene validez únicamente en su forma original, no debiendo ser reproducido parcialmente sin autorización previa de este laboratorio.</t>
  </si>
  <si>
    <t>El presente Certificado no es valido si presenta tachaduras, enmendaduras y/o por falta de firmas autorizadas por la empresa.</t>
  </si>
  <si>
    <t>Mediante el presente Certificado no se asegura ninguna otra característica del  instrumento diferente a las descritas en este documento.</t>
  </si>
  <si>
    <t xml:space="preserve">Los resultados de la calibración emitidos son trazables a través de una cadena ininterrumpida de calibraciones a patrones primarios mantenidos por el </t>
  </si>
  <si>
    <t>Centro Nacional de Metrología (CENAM).</t>
  </si>
  <si>
    <t>Es responsabilidad del usuario utilizar el instrumento de manera adecuada; para el fin para el cual ha sido diseñado.</t>
  </si>
  <si>
    <t>Es responsabilidad del usuario evaluar que los resultados emitidos satisfacen los requisitos de su sistema de calidad.</t>
  </si>
  <si>
    <t>La calibración fue realizada en base a procedimientos internos, elaborados en base a normas nacionales e internacionales, aplicables al instrumento.</t>
  </si>
  <si>
    <t>Los valores que se reportan están redondeados a las cifras que el instrumento a calibrar indica</t>
  </si>
  <si>
    <t>La incertidumbre de la medición se reporta como una incertidumbre expandida con un factor de cobertura de k = 2 (95,45 % de confianza)</t>
  </si>
  <si>
    <t>Pagina 2 de 2</t>
  </si>
  <si>
    <t>Captura de datos</t>
  </si>
  <si>
    <t>NUMERO DE CERTIFICADO</t>
  </si>
  <si>
    <t>ORDEN DE SERVICIO</t>
  </si>
  <si>
    <t>EMPRESA</t>
  </si>
  <si>
    <t>DIRECCIÓN</t>
  </si>
  <si>
    <t>ATENCION</t>
  </si>
  <si>
    <t>DESCRIPCIÓN DEL IBC</t>
  </si>
  <si>
    <t>No De Serie:</t>
  </si>
  <si>
    <t>Identificación:</t>
  </si>
  <si>
    <t>Lugar de calibración</t>
  </si>
  <si>
    <t>Unidades:</t>
  </si>
  <si>
    <t>DESCRIPCIÓN DEL PATRON DE REFERENCIA</t>
  </si>
  <si>
    <t>Trazabilidad, Calibrado Por:</t>
  </si>
  <si>
    <t>No De Certificado:</t>
  </si>
  <si>
    <t>FECHA DE RECEPCIÓN</t>
  </si>
  <si>
    <t>FECHA DE EMISION</t>
  </si>
  <si>
    <t>PROXIMA CALIBRACIÓN</t>
  </si>
  <si>
    <t>CONDICIONES AMBIENTALES</t>
  </si>
  <si>
    <t>Inicio</t>
  </si>
  <si>
    <t>Final</t>
  </si>
  <si>
    <t>CONDICION INICIAL:</t>
  </si>
  <si>
    <t>CONDICION FINAL:</t>
  </si>
  <si>
    <t>METODO:</t>
  </si>
  <si>
    <t>NORMA APLICABLE:</t>
  </si>
  <si>
    <t>CALIBRADO POR:</t>
  </si>
  <si>
    <t>Cargo</t>
  </si>
  <si>
    <t>Técnico en calibraciones</t>
  </si>
  <si>
    <t>AUTORIZADO POR:</t>
  </si>
  <si>
    <t>Responsable de calibraciones</t>
  </si>
  <si>
    <t>Resolución:</t>
  </si>
  <si>
    <t>Resolution</t>
  </si>
  <si>
    <t>Temperatura:</t>
  </si>
  <si>
    <t>Temperature</t>
  </si>
  <si>
    <t>Presión barométrica</t>
  </si>
  <si>
    <t>barometric pressure</t>
  </si>
  <si>
    <t>Valor Nominal</t>
  </si>
  <si>
    <t>Indicación</t>
  </si>
  <si>
    <t>Zona</t>
  </si>
  <si>
    <t>Nominal</t>
  </si>
  <si>
    <t xml:space="preserve">Error de </t>
  </si>
  <si>
    <t>Incertidumbre</t>
  </si>
  <si>
    <t>Prueba de Repetibilidad</t>
  </si>
  <si>
    <r>
      <rPr>
        <b/>
        <sz val="10"/>
        <color indexed="8"/>
        <rFont val="Times New Roman"/>
        <family val="1"/>
      </rPr>
      <t xml:space="preserve">DATOS DEL CLIENTE     </t>
    </r>
    <r>
      <rPr>
        <b/>
        <sz val="11"/>
        <color indexed="8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</t>
    </r>
    <r>
      <rPr>
        <b/>
        <sz val="7"/>
        <color indexed="8"/>
        <rFont val="Times New Roman"/>
        <family val="1"/>
      </rPr>
      <t>Client data</t>
    </r>
  </si>
  <si>
    <r>
      <rPr>
        <b/>
        <sz val="10"/>
        <color indexed="8"/>
        <rFont val="Times New Roman"/>
        <family val="1"/>
      </rPr>
      <t xml:space="preserve">DATOS DEL INSTRUMENTO    </t>
    </r>
    <r>
      <rPr>
        <b/>
        <sz val="11"/>
        <color indexed="8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</t>
    </r>
    <r>
      <rPr>
        <b/>
        <sz val="7"/>
        <color indexed="8"/>
        <rFont val="Times New Roman"/>
        <family val="1"/>
      </rPr>
      <t>Instrument data</t>
    </r>
  </si>
  <si>
    <r>
      <rPr>
        <b/>
        <sz val="10"/>
        <color indexed="8"/>
        <rFont val="Times New Roman"/>
        <family val="1"/>
      </rPr>
      <t xml:space="preserve">DATOS DEL INSTRUMENTO PATRON        </t>
    </r>
    <r>
      <rPr>
        <b/>
        <sz val="11"/>
        <color indexed="8"/>
        <rFont val="Times New Roman"/>
        <family val="1"/>
      </rPr>
      <t xml:space="preserve">                                                                                                                                                            </t>
    </r>
    <r>
      <rPr>
        <b/>
        <sz val="7"/>
        <color indexed="8"/>
        <rFont val="Times New Roman"/>
        <family val="1"/>
      </rPr>
      <t>Reference Instrument data</t>
    </r>
  </si>
  <si>
    <r>
      <rPr>
        <b/>
        <sz val="10"/>
        <color indexed="8"/>
        <rFont val="Times New Roman"/>
        <family val="1"/>
      </rPr>
      <t xml:space="preserve">  CONDICIONES AMBIENTALES  </t>
    </r>
    <r>
      <rPr>
        <b/>
        <sz val="11"/>
        <color indexed="8"/>
        <rFont val="Times New Roman"/>
        <family val="1"/>
      </rPr>
      <t xml:space="preserve">                                                                                                                                                                     </t>
    </r>
    <r>
      <rPr>
        <b/>
        <sz val="7"/>
        <color indexed="8"/>
        <rFont val="Times New Roman"/>
        <family val="1"/>
      </rPr>
      <t>Environmental Conditions</t>
    </r>
  </si>
  <si>
    <t>± expandida</t>
  </si>
  <si>
    <t xml:space="preserve">VALOR NOMINAL </t>
  </si>
  <si>
    <t xml:space="preserve">M1 </t>
  </si>
  <si>
    <t>CORRECCION Vmc</t>
  </si>
  <si>
    <t>INCERTIDUMBRE UVmc</t>
  </si>
  <si>
    <t>INCERTIDUMBRE  UVmc</t>
  </si>
  <si>
    <t>50g</t>
  </si>
  <si>
    <t>Valor en g</t>
  </si>
  <si>
    <t>BASCULAS (g)</t>
  </si>
  <si>
    <t xml:space="preserve"> 600 g</t>
  </si>
  <si>
    <t>38 g</t>
  </si>
  <si>
    <t>25 g</t>
  </si>
  <si>
    <t>75 g</t>
  </si>
  <si>
    <t xml:space="preserve">150 g </t>
  </si>
  <si>
    <t xml:space="preserve">300 g </t>
  </si>
  <si>
    <t>250 g</t>
  </si>
  <si>
    <t>30 kg</t>
  </si>
  <si>
    <t>3 kg</t>
  </si>
  <si>
    <t>6 kg</t>
  </si>
  <si>
    <t>450 g</t>
  </si>
  <si>
    <t>750 g</t>
  </si>
  <si>
    <t>1.5 kg</t>
  </si>
  <si>
    <t>1.25 kg</t>
  </si>
  <si>
    <t>2.25 kg</t>
  </si>
  <si>
    <t>2.5 kg</t>
  </si>
  <si>
    <t>3.75 kg</t>
  </si>
  <si>
    <t>7.5 kg</t>
  </si>
  <si>
    <t xml:space="preserve">4.5 kg </t>
  </si>
  <si>
    <t>15 kg</t>
  </si>
  <si>
    <t>11.25 kg</t>
  </si>
  <si>
    <t>22.5 kg</t>
  </si>
  <si>
    <t xml:space="preserve">12.5 kg </t>
  </si>
  <si>
    <t xml:space="preserve">25 kg </t>
  </si>
  <si>
    <t>75 kg</t>
  </si>
  <si>
    <t>100 kg</t>
  </si>
  <si>
    <t>125 kg</t>
  </si>
  <si>
    <t>150 kg</t>
  </si>
  <si>
    <t xml:space="preserve">200 kg </t>
  </si>
  <si>
    <t>225 kg</t>
  </si>
  <si>
    <t>250 kg</t>
  </si>
  <si>
    <t xml:space="preserve">300 kg </t>
  </si>
  <si>
    <t xml:space="preserve">500 kg </t>
  </si>
  <si>
    <t>750 kg</t>
  </si>
  <si>
    <t>1 T</t>
  </si>
  <si>
    <t>1.5 T</t>
  </si>
  <si>
    <t>2 T</t>
  </si>
  <si>
    <t xml:space="preserve">13 g </t>
  </si>
  <si>
    <t>60 g</t>
  </si>
  <si>
    <t>M1</t>
  </si>
  <si>
    <t>Próxima Calibración:</t>
  </si>
  <si>
    <t>Lugar de Calibración:</t>
  </si>
  <si>
    <t>Prueba de Excentricidad</t>
  </si>
  <si>
    <t xml:space="preserve">Carga </t>
  </si>
  <si>
    <t>Generalidades:</t>
  </si>
  <si>
    <t xml:space="preserve"> Los valores mostrados en cada parámetro calibrado, fueron obtenidos al compararlos </t>
  </si>
  <si>
    <t>Capacidad max.</t>
  </si>
  <si>
    <t>Capacity</t>
  </si>
  <si>
    <t>FOR-023</t>
  </si>
  <si>
    <t>contra el patrón de referencia y sus posibles combinaciones. Donde  aplique</t>
  </si>
  <si>
    <t>Temp. pesas</t>
  </si>
  <si>
    <t xml:space="preserve">PMMC-01 Calibración de instrumentos de pesaje de funcionamiento no automático </t>
  </si>
  <si>
    <t>kg</t>
  </si>
  <si>
    <t>Euramet cg-18</t>
  </si>
  <si>
    <t>Jgo. 5 pesas M1 (2 a 10) kg</t>
  </si>
  <si>
    <t>CAP g</t>
  </si>
  <si>
    <t>40 kg</t>
  </si>
  <si>
    <t xml:space="preserve">PRUEBA DE CARGA EXCENTRICA </t>
  </si>
  <si>
    <t xml:space="preserve">Prueba de Repetibilidad                                                 </t>
  </si>
  <si>
    <t>Excent.</t>
  </si>
  <si>
    <t>Repet.</t>
  </si>
  <si>
    <t>Básculas hasta 1000 kg</t>
  </si>
  <si>
    <t>Promedio</t>
  </si>
  <si>
    <t>400 kg</t>
  </si>
  <si>
    <t xml:space="preserve"> Calculada en base JCGM 100:2008 (GUM) -- Guide to the Expression of Uncertainties in Measurement.</t>
  </si>
  <si>
    <t>60 kg</t>
  </si>
  <si>
    <t xml:space="preserve">80 kg </t>
  </si>
  <si>
    <t>120 kg</t>
  </si>
  <si>
    <t>140 kg</t>
  </si>
  <si>
    <t>800 kg</t>
  </si>
  <si>
    <t xml:space="preserve">600 kg  </t>
  </si>
  <si>
    <t>Dirección:</t>
  </si>
  <si>
    <t>Efecto de carga Excéntrica</t>
  </si>
  <si>
    <t>Desv. estándar del IBC ±</t>
  </si>
  <si>
    <t>%HR</t>
  </si>
  <si>
    <t>STD#188</t>
  </si>
  <si>
    <t>STD#189</t>
  </si>
  <si>
    <t>Funcionando</t>
  </si>
  <si>
    <t xml:space="preserve">Ver hoja(s) de resultados </t>
  </si>
  <si>
    <t xml:space="preserve">Comparación Directa </t>
  </si>
  <si>
    <t>CALINSTO</t>
  </si>
  <si>
    <t>MMPP-211201</t>
  </si>
  <si>
    <t>MMPP-211202</t>
  </si>
  <si>
    <t>Jgo. 50 pesas M1 20 kg c/u</t>
  </si>
  <si>
    <t>*Vigencia acordada y/o solicitada por el cliente</t>
  </si>
  <si>
    <t>Tgo. Diego Báez Flores</t>
  </si>
  <si>
    <t>Tel: (33) 3125 1051    E-mail: ventas@calinsto.com    www.calinsto.com</t>
  </si>
  <si>
    <t xml:space="preserve">Ing. Gerardo Báez Acosta </t>
  </si>
  <si>
    <t>Calibrado por:</t>
  </si>
  <si>
    <r>
      <t>I</t>
    </r>
    <r>
      <rPr>
        <b/>
        <vertAlign val="subscript"/>
        <sz val="8"/>
        <color rgb="FF000000"/>
        <rFont val="Calibri"/>
        <family val="2"/>
      </rPr>
      <t>L</t>
    </r>
    <r>
      <rPr>
        <b/>
        <sz val="8"/>
        <color rgb="FF000000"/>
        <rFont val="Calibri"/>
        <family val="2"/>
      </rPr>
      <t>3</t>
    </r>
  </si>
  <si>
    <r>
      <t>I</t>
    </r>
    <r>
      <rPr>
        <b/>
        <vertAlign val="subscript"/>
        <sz val="8"/>
        <color rgb="FF000000"/>
        <rFont val="Calibri"/>
        <family val="2"/>
      </rPr>
      <t>L</t>
    </r>
    <r>
      <rPr>
        <b/>
        <sz val="8"/>
        <color rgb="FF000000"/>
        <rFont val="Calibri"/>
        <family val="2"/>
      </rPr>
      <t>2</t>
    </r>
  </si>
  <si>
    <r>
      <t>I</t>
    </r>
    <r>
      <rPr>
        <b/>
        <vertAlign val="subscript"/>
        <sz val="8"/>
        <color rgb="FF000000"/>
        <rFont val="Calibri"/>
        <family val="2"/>
      </rPr>
      <t>L</t>
    </r>
    <r>
      <rPr>
        <b/>
        <sz val="8"/>
        <color rgb="FF000000"/>
        <rFont val="Calibri"/>
        <family val="2"/>
      </rPr>
      <t>1</t>
    </r>
  </si>
  <si>
    <r>
      <t>I</t>
    </r>
    <r>
      <rPr>
        <b/>
        <vertAlign val="subscript"/>
        <sz val="8"/>
        <color rgb="FF000000"/>
        <rFont val="Calibri"/>
        <family val="2"/>
      </rPr>
      <t>0</t>
    </r>
  </si>
  <si>
    <t>Valor nominal</t>
  </si>
  <si>
    <r>
      <t>I</t>
    </r>
    <r>
      <rPr>
        <b/>
        <vertAlign val="subscript"/>
        <sz val="8"/>
        <color rgb="FF000000"/>
        <rFont val="Calibri"/>
        <family val="2"/>
      </rPr>
      <t>L</t>
    </r>
  </si>
  <si>
    <t>No.</t>
  </si>
  <si>
    <t>Prueba de excentricidad</t>
  </si>
  <si>
    <t>Inicial</t>
  </si>
  <si>
    <t>Pesas (°C)</t>
  </si>
  <si>
    <t>˚C</t>
  </si>
  <si>
    <t>Patrón</t>
  </si>
  <si>
    <t>Resolución</t>
  </si>
  <si>
    <t>Alcance</t>
  </si>
  <si>
    <t>No. Serie</t>
  </si>
  <si>
    <t>Marca</t>
  </si>
  <si>
    <t>Empresa</t>
  </si>
  <si>
    <t>Fecha</t>
  </si>
  <si>
    <t>Certificado</t>
  </si>
  <si>
    <t>Folio</t>
  </si>
  <si>
    <t>HOJA DE REGISTRO DE DATOS PARA BÁSCULAS Y BALANZAS</t>
  </si>
  <si>
    <t>Capacidad (g)</t>
  </si>
  <si>
    <t>Puntos de medición</t>
  </si>
  <si>
    <t>Excentricidad</t>
  </si>
  <si>
    <t>Unidad (     g 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</si>
</sst>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3" formatCode="_-* #,##0.00_-;\-* #,##0.00_-;_-* &quot;-&quot;??_-;_-@_-"/>
    <numFmt numFmtId="164" formatCode="0.0"/>
    <numFmt numFmtId="165" formatCode="0.000000"/>
    <numFmt numFmtId="166" formatCode="0.0000"/>
    <numFmt numFmtId="167" formatCode="0.000"/>
    <numFmt numFmtId="168" formatCode="0.0000000"/>
    <numFmt numFmtId="169" formatCode="0.00000"/>
    <numFmt numFmtId="170" formatCode="0\ 000"/>
    <numFmt numFmtId="171" formatCode="0&quot;,&quot;0000"/>
    <numFmt numFmtId="172" formatCode="0&quot;,&quot;000\ 0"/>
    <numFmt numFmtId="173" formatCode="00"/>
    <numFmt numFmtId="174" formatCode="0.00000000"/>
    <numFmt numFmtId="175" formatCode="#,##0.0000"/>
    <numFmt numFmtId="176" formatCode="0.0%"/>
    <numFmt numFmtId="177" formatCode="yyyy\-mm\-dd;@"/>
    <numFmt numFmtId="178" formatCode="0\ 000.000\ 00"/>
    <numFmt numFmtId="179" formatCode="0.0\ \°\C"/>
    <numFmt numFmtId="180" formatCode="[$-540A]General"/>
    <numFmt numFmtId="181" formatCode="&quot;F-&quot;0000"/>
  </numFmts>
  <fonts count="10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7"/>
      <name val="Times New Roman"/>
      <family val="1"/>
    </font>
    <font>
      <b/>
      <sz val="14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sz val="11.5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20"/>
      <name val="Times New Roman"/>
      <family val="1"/>
    </font>
    <font>
      <b/>
      <sz val="11"/>
      <name val="Times New Roman"/>
      <family val="1"/>
    </font>
    <font>
      <vertAlign val="subscript"/>
      <sz val="10"/>
      <name val="Times New Roman"/>
      <family val="1"/>
    </font>
    <font>
      <vertAlign val="superscript"/>
      <sz val="9"/>
      <name val="Times New Roman"/>
      <family val="1"/>
    </font>
    <font>
      <b/>
      <sz val="7"/>
      <name val="Times New Roman"/>
      <family val="1"/>
    </font>
    <font>
      <b/>
      <vertAlign val="subscript"/>
      <sz val="10"/>
      <name val="Times New Roman"/>
      <family val="1"/>
    </font>
    <font>
      <b/>
      <sz val="17"/>
      <name val="Times New Roman"/>
      <family val="1"/>
    </font>
    <font>
      <b/>
      <sz val="8"/>
      <name val="Arial"/>
      <family val="2"/>
    </font>
    <font>
      <b/>
      <sz val="26"/>
      <name val="Times New Roman"/>
      <family val="1"/>
    </font>
    <font>
      <b/>
      <sz val="26"/>
      <name val="Arial"/>
      <family val="2"/>
    </font>
    <font>
      <b/>
      <sz val="9"/>
      <name val="Arial"/>
      <family val="2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7"/>
      <color indexed="8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sz val="9"/>
      <color theme="0"/>
      <name val="Times New Roman"/>
      <family val="1"/>
    </font>
    <font>
      <sz val="7"/>
      <color theme="0"/>
      <name val="Times New Roman"/>
      <family val="1"/>
    </font>
    <font>
      <b/>
      <sz val="12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9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Arial"/>
      <family val="2"/>
    </font>
    <font>
      <b/>
      <sz val="9"/>
      <color theme="1"/>
      <name val="Times New Roman"/>
      <family val="1"/>
    </font>
    <font>
      <b/>
      <sz val="9"/>
      <color theme="4" tint="-0.249977111117893"/>
      <name val="Baskerville Old Face"/>
      <family val="1"/>
    </font>
    <font>
      <b/>
      <sz val="22"/>
      <color theme="4" tint="-0.249977111117893"/>
      <name val="Lucida Calligraphy"/>
      <family val="4"/>
    </font>
    <font>
      <b/>
      <sz val="22"/>
      <color theme="1"/>
      <name val="Lucida Calligraphy"/>
      <family val="4"/>
    </font>
    <font>
      <b/>
      <sz val="16"/>
      <color theme="1"/>
      <name val="Baskerville Old Face"/>
      <family val="1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4" tint="-0.249977111117893"/>
      <name val="Arial Narrow"/>
      <family val="2"/>
    </font>
    <font>
      <b/>
      <sz val="10"/>
      <color theme="4" tint="-0.249977111117893"/>
      <name val="Arial Narrow"/>
      <family val="2"/>
    </font>
    <font>
      <b/>
      <sz val="26"/>
      <color theme="4" tint="-0.249977111117893"/>
      <name val="Arial Narrow"/>
      <family val="2"/>
    </font>
    <font>
      <i/>
      <sz val="10"/>
      <color theme="4" tint="-0.249977111117893"/>
      <name val="Arial Narrow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sz val="12"/>
      <color theme="4" tint="-0.249977111117893"/>
      <name val="Arial Narrow"/>
      <family val="2"/>
    </font>
    <font>
      <b/>
      <i/>
      <sz val="10"/>
      <color theme="4" tint="-0.249977111117893"/>
      <name val="Arial Narrow"/>
      <family val="2"/>
    </font>
    <font>
      <i/>
      <sz val="8"/>
      <color theme="4" tint="-0.249977111117893"/>
      <name val="Arial Narrow"/>
      <family val="2"/>
    </font>
    <font>
      <sz val="8"/>
      <color theme="4" tint="-0.249977111117893"/>
      <name val="Arial Narrow"/>
      <family val="2"/>
    </font>
    <font>
      <b/>
      <sz val="16"/>
      <color theme="4" tint="-0.249977111117893"/>
      <name val="Lucida Calligraphy"/>
      <family val="4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Arial"/>
      <family val="2"/>
    </font>
    <font>
      <b/>
      <sz val="12"/>
      <color theme="0"/>
      <name val="Times New Roman"/>
      <family val="1"/>
    </font>
    <font>
      <b/>
      <sz val="16"/>
      <color theme="4" tint="-0.249977111117893"/>
      <name val="Times New Roman"/>
      <family val="1"/>
    </font>
    <font>
      <b/>
      <sz val="8"/>
      <color theme="4" tint="-0.249977111117893"/>
      <name val="Times New Roman"/>
      <family val="1"/>
    </font>
    <font>
      <b/>
      <sz val="14"/>
      <color theme="1"/>
      <name val="Times New Roman"/>
      <family val="1"/>
    </font>
    <font>
      <b/>
      <sz val="14"/>
      <color theme="4" tint="-0.249977111117893"/>
      <name val="Times New Roman"/>
      <family val="1"/>
    </font>
    <font>
      <b/>
      <sz val="20"/>
      <color theme="1"/>
      <name val="Times New Roman"/>
      <family val="1"/>
    </font>
    <font>
      <i/>
      <sz val="10"/>
      <name val="Arial"/>
      <family val="2"/>
    </font>
    <font>
      <sz val="8"/>
      <name val="Arial"/>
      <family val="2"/>
    </font>
    <font>
      <sz val="11"/>
      <color rgb="FF000000"/>
      <name val="DejaVu Sans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vertAlign val="subscript"/>
      <sz val="8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C5E0B4"/>
        <bgColor rgb="FFC5E0B4"/>
      </patternFill>
    </fill>
    <fill>
      <patternFill patternType="solid">
        <fgColor rgb="FFC6E0B4"/>
        <bgColor rgb="FFC6E0B4"/>
      </patternFill>
    </fill>
    <fill>
      <patternFill patternType="solid">
        <fgColor rgb="FFDAE3F3"/>
        <bgColor rgb="FFDAE3F3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32" fillId="0" borderId="0" applyFont="0" applyFill="0" applyBorder="0" applyAlignment="0" applyProtection="0"/>
    <xf numFmtId="0" fontId="2" fillId="0" borderId="0"/>
    <xf numFmtId="0" fontId="90" fillId="0" borderId="0"/>
    <xf numFmtId="180" fontId="91" fillId="0" borderId="0" applyBorder="0" applyProtection="0"/>
    <xf numFmtId="180" fontId="98" fillId="0" borderId="0" applyBorder="0" applyProtection="0"/>
  </cellStyleXfs>
  <cellXfs count="117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/>
    <xf numFmtId="0" fontId="8" fillId="0" borderId="0" xfId="0" applyFont="1"/>
    <xf numFmtId="0" fontId="4" fillId="0" borderId="2" xfId="0" applyFont="1" applyBorder="1"/>
    <xf numFmtId="0" fontId="9" fillId="0" borderId="0" xfId="0" applyFont="1" applyAlignment="1">
      <alignment horizontal="right" vertical="center"/>
    </xf>
    <xf numFmtId="49" fontId="4" fillId="0" borderId="0" xfId="0" applyNumberFormat="1" applyFont="1"/>
    <xf numFmtId="49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49" fontId="8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>
      <alignment horizontal="left" vertical="center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/>
    <xf numFmtId="49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/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right"/>
    </xf>
    <xf numFmtId="0" fontId="5" fillId="0" borderId="0" xfId="0" applyFont="1"/>
    <xf numFmtId="2" fontId="4" fillId="0" borderId="0" xfId="0" applyNumberFormat="1" applyFont="1"/>
    <xf numFmtId="0" fontId="10" fillId="0" borderId="0" xfId="0" applyFont="1"/>
    <xf numFmtId="49" fontId="8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49" fontId="8" fillId="0" borderId="0" xfId="0" applyNumberFormat="1" applyFont="1" applyProtection="1">
      <protection locked="0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2" fontId="4" fillId="2" borderId="0" xfId="0" applyNumberFormat="1" applyFont="1" applyFill="1"/>
    <xf numFmtId="171" fontId="4" fillId="2" borderId="0" xfId="0" applyNumberFormat="1" applyFont="1" applyFill="1" applyAlignment="1">
      <alignment horizontal="center"/>
    </xf>
    <xf numFmtId="0" fontId="4" fillId="2" borderId="0" xfId="0" applyFont="1" applyFill="1"/>
    <xf numFmtId="171" fontId="4" fillId="2" borderId="0" xfId="0" applyNumberFormat="1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2" fillId="2" borderId="0" xfId="0" applyFont="1" applyFill="1"/>
    <xf numFmtId="2" fontId="5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right"/>
    </xf>
    <xf numFmtId="49" fontId="6" fillId="0" borderId="0" xfId="0" applyNumberFormat="1" applyFont="1"/>
    <xf numFmtId="49" fontId="5" fillId="0" borderId="0" xfId="0" applyNumberFormat="1" applyFont="1"/>
    <xf numFmtId="0" fontId="14" fillId="0" borderId="0" xfId="0" applyFont="1"/>
    <xf numFmtId="49" fontId="5" fillId="0" borderId="0" xfId="0" applyNumberFormat="1" applyFont="1" applyAlignment="1">
      <alignment horizontal="right"/>
    </xf>
    <xf numFmtId="49" fontId="8" fillId="0" borderId="0" xfId="0" applyNumberFormat="1" applyFont="1" applyAlignment="1">
      <alignment vertic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169" fontId="4" fillId="0" borderId="0" xfId="0" applyNumberFormat="1" applyFont="1" applyAlignment="1">
      <alignment horizontal="center"/>
    </xf>
    <xf numFmtId="0" fontId="15" fillId="0" borderId="0" xfId="0" applyFont="1" applyAlignment="1" applyProtection="1">
      <alignment vertical="top" wrapText="1"/>
      <protection locked="0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vertical="center" wrapText="1" shrinkToFit="1"/>
      <protection locked="0"/>
    </xf>
    <xf numFmtId="164" fontId="4" fillId="0" borderId="0" xfId="0" applyNumberFormat="1" applyFont="1"/>
    <xf numFmtId="168" fontId="4" fillId="0" borderId="0" xfId="0" applyNumberFormat="1" applyFont="1"/>
    <xf numFmtId="11" fontId="4" fillId="0" borderId="0" xfId="0" applyNumberFormat="1" applyFont="1"/>
    <xf numFmtId="49" fontId="4" fillId="0" borderId="0" xfId="0" applyNumberFormat="1" applyFont="1" applyAlignment="1">
      <alignment horizontal="left" vertical="center"/>
    </xf>
    <xf numFmtId="0" fontId="5" fillId="0" borderId="3" xfId="0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0" fontId="18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175" fontId="4" fillId="0" borderId="0" xfId="0" applyNumberFormat="1" applyFont="1"/>
    <xf numFmtId="0" fontId="4" fillId="4" borderId="0" xfId="0" applyFont="1" applyFill="1" applyAlignment="1" applyProtection="1">
      <alignment horizontal="center"/>
      <protection locked="0"/>
    </xf>
    <xf numFmtId="165" fontId="4" fillId="4" borderId="0" xfId="0" applyNumberFormat="1" applyFont="1" applyFill="1" applyAlignment="1" applyProtection="1">
      <alignment horizontal="center"/>
      <protection locked="0"/>
    </xf>
    <xf numFmtId="167" fontId="4" fillId="4" borderId="0" xfId="0" applyNumberFormat="1" applyFont="1" applyFill="1" applyAlignment="1" applyProtection="1">
      <alignment horizontal="center"/>
      <protection locked="0"/>
    </xf>
    <xf numFmtId="0" fontId="5" fillId="4" borderId="0" xfId="0" applyFont="1" applyFill="1"/>
    <xf numFmtId="0" fontId="4" fillId="4" borderId="0" xfId="0" applyFont="1" applyFill="1"/>
    <xf numFmtId="173" fontId="4" fillId="4" borderId="0" xfId="0" applyNumberFormat="1" applyFont="1" applyFill="1" applyAlignment="1">
      <alignment horizontal="center"/>
    </xf>
    <xf numFmtId="169" fontId="4" fillId="4" borderId="0" xfId="0" applyNumberFormat="1" applyFont="1" applyFill="1" applyAlignment="1">
      <alignment horizontal="center"/>
    </xf>
    <xf numFmtId="49" fontId="4" fillId="4" borderId="0" xfId="0" applyNumberFormat="1" applyFont="1" applyFill="1" applyAlignment="1" applyProtection="1">
      <alignment horizontal="center"/>
      <protection locked="0"/>
    </xf>
    <xf numFmtId="49" fontId="4" fillId="4" borderId="0" xfId="0" applyNumberFormat="1" applyFont="1" applyFill="1" applyAlignment="1">
      <alignment horizontal="center"/>
    </xf>
    <xf numFmtId="0" fontId="7" fillId="4" borderId="0" xfId="0" applyFont="1" applyFill="1"/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8" fillId="5" borderId="0" xfId="0" applyFont="1" applyFill="1"/>
    <xf numFmtId="0" fontId="8" fillId="5" borderId="0" xfId="0" applyFont="1" applyFill="1" applyAlignment="1" applyProtection="1">
      <alignment horizontal="right" vertical="center"/>
      <protection locked="0"/>
    </xf>
    <xf numFmtId="0" fontId="9" fillId="5" borderId="0" xfId="0" applyFont="1" applyFill="1" applyAlignment="1">
      <alignment horizontal="right" vertical="center"/>
    </xf>
    <xf numFmtId="0" fontId="8" fillId="5" borderId="0" xfId="0" applyFont="1" applyFill="1" applyAlignment="1" applyProtection="1">
      <alignment horizontal="left" vertical="center"/>
      <protection locked="0"/>
    </xf>
    <xf numFmtId="0" fontId="8" fillId="5" borderId="0" xfId="0" applyFont="1" applyFill="1" applyAlignment="1">
      <alignment vertical="center"/>
    </xf>
    <xf numFmtId="0" fontId="9" fillId="5" borderId="0" xfId="0" applyFont="1" applyFill="1" applyAlignment="1">
      <alignment horizontal="right"/>
    </xf>
    <xf numFmtId="0" fontId="8" fillId="5" borderId="0" xfId="0" applyFont="1" applyFill="1" applyAlignment="1">
      <alignment horizontal="right"/>
    </xf>
    <xf numFmtId="49" fontId="8" fillId="5" borderId="0" xfId="0" applyNumberFormat="1" applyFont="1" applyFill="1" applyAlignment="1" applyProtection="1">
      <alignment horizontal="left" vertical="center"/>
      <protection locked="0"/>
    </xf>
    <xf numFmtId="0" fontId="4" fillId="5" borderId="8" xfId="0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5" borderId="0" xfId="0" applyFont="1" applyFill="1"/>
    <xf numFmtId="0" fontId="6" fillId="5" borderId="0" xfId="0" applyFont="1" applyFill="1" applyAlignment="1">
      <alignment horizontal="center"/>
    </xf>
    <xf numFmtId="49" fontId="6" fillId="5" borderId="0" xfId="0" applyNumberFormat="1" applyFont="1" applyFill="1"/>
    <xf numFmtId="0" fontId="6" fillId="5" borderId="0" xfId="0" applyFont="1" applyFill="1" applyAlignment="1">
      <alignment horizontal="right"/>
    </xf>
    <xf numFmtId="49" fontId="6" fillId="5" borderId="0" xfId="0" applyNumberFormat="1" applyFont="1" applyFill="1" applyAlignment="1">
      <alignment horizontal="right"/>
    </xf>
    <xf numFmtId="0" fontId="6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right" vertical="center"/>
      <protection locked="0"/>
    </xf>
    <xf numFmtId="0" fontId="6" fillId="0" borderId="0" xfId="0" applyFont="1"/>
    <xf numFmtId="0" fontId="6" fillId="5" borderId="0" xfId="0" applyFont="1" applyFill="1" applyAlignment="1">
      <alignment vertical="center"/>
    </xf>
    <xf numFmtId="49" fontId="6" fillId="5" borderId="0" xfId="0" applyNumberFormat="1" applyFont="1" applyFill="1" applyAlignment="1">
      <alignment horizontal="center" vertical="center"/>
    </xf>
    <xf numFmtId="49" fontId="6" fillId="5" borderId="0" xfId="0" applyNumberFormat="1" applyFont="1" applyFill="1" applyAlignment="1">
      <alignment vertical="center"/>
    </xf>
    <xf numFmtId="0" fontId="6" fillId="5" borderId="0" xfId="0" applyFont="1" applyFill="1" applyAlignment="1">
      <alignment horizontal="right" vertical="center"/>
    </xf>
    <xf numFmtId="0" fontId="6" fillId="5" borderId="0" xfId="0" applyFont="1" applyFill="1" applyAlignment="1">
      <alignment horizontal="left" vertical="center"/>
    </xf>
    <xf numFmtId="0" fontId="18" fillId="0" borderId="0" xfId="0" applyFont="1" applyAlignment="1">
      <alignment horizontal="center" vertical="top" wrapText="1"/>
    </xf>
    <xf numFmtId="164" fontId="15" fillId="0" borderId="0" xfId="0" applyNumberFormat="1" applyFont="1" applyAlignment="1" applyProtection="1">
      <alignment horizontal="center"/>
      <protection locked="0"/>
    </xf>
    <xf numFmtId="164" fontId="15" fillId="0" borderId="0" xfId="0" applyNumberFormat="1" applyFont="1" applyAlignment="1" applyProtection="1">
      <alignment horizontal="center" vertical="top" wrapText="1"/>
      <protection locked="0"/>
    </xf>
    <xf numFmtId="164" fontId="15" fillId="0" borderId="0" xfId="0" applyNumberFormat="1" applyFont="1" applyAlignment="1">
      <alignment horizontal="right" vertical="top" wrapText="1"/>
    </xf>
    <xf numFmtId="167" fontId="15" fillId="0" borderId="0" xfId="0" applyNumberFormat="1" applyFont="1" applyAlignment="1">
      <alignment horizontal="center" vertical="top" wrapText="1"/>
    </xf>
    <xf numFmtId="164" fontId="15" fillId="0" borderId="0" xfId="0" applyNumberFormat="1" applyFont="1" applyAlignment="1">
      <alignment horizontal="center" vertical="top" wrapText="1"/>
    </xf>
    <xf numFmtId="164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left"/>
    </xf>
    <xf numFmtId="164" fontId="15" fillId="0" borderId="0" xfId="0" applyNumberFormat="1" applyFont="1" applyProtection="1">
      <protection locked="0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14" fontId="6" fillId="0" borderId="0" xfId="0" applyNumberFormat="1" applyFont="1" applyAlignment="1">
      <alignment horizontal="right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0" fontId="8" fillId="0" borderId="0" xfId="0" applyFont="1" applyAlignment="1" applyProtection="1">
      <alignment horizontal="center" vertical="center" wrapText="1" shrinkToFit="1"/>
      <protection locked="0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6" borderId="5" xfId="0" applyFont="1" applyFill="1" applyBorder="1" applyAlignment="1" applyProtection="1">
      <alignment horizontal="center"/>
      <protection locked="0"/>
    </xf>
    <xf numFmtId="0" fontId="4" fillId="6" borderId="8" xfId="0" applyFont="1" applyFill="1" applyBorder="1" applyAlignment="1" applyProtection="1">
      <alignment horizontal="center"/>
      <protection locked="0"/>
    </xf>
    <xf numFmtId="0" fontId="4" fillId="6" borderId="10" xfId="0" applyFont="1" applyFill="1" applyBorder="1" applyAlignment="1" applyProtection="1">
      <alignment horizontal="center"/>
      <protection locked="0"/>
    </xf>
    <xf numFmtId="0" fontId="18" fillId="0" borderId="1" xfId="0" applyFont="1" applyBorder="1" applyAlignment="1">
      <alignment horizontal="center" vertical="top" wrapText="1"/>
    </xf>
    <xf numFmtId="164" fontId="15" fillId="0" borderId="2" xfId="0" applyNumberFormat="1" applyFont="1" applyBorder="1" applyAlignment="1" applyProtection="1">
      <alignment horizontal="center" vertical="top" wrapText="1"/>
      <protection locked="0"/>
    </xf>
    <xf numFmtId="164" fontId="15" fillId="0" borderId="2" xfId="0" applyNumberFormat="1" applyFont="1" applyBorder="1" applyProtection="1">
      <protection locked="0"/>
    </xf>
    <xf numFmtId="0" fontId="18" fillId="0" borderId="11" xfId="0" applyFont="1" applyBorder="1" applyAlignment="1">
      <alignment horizontal="center" vertical="top" wrapText="1"/>
    </xf>
    <xf numFmtId="164" fontId="15" fillId="0" borderId="12" xfId="0" applyNumberFormat="1" applyFont="1" applyBorder="1" applyProtection="1">
      <protection locked="0"/>
    </xf>
    <xf numFmtId="164" fontId="15" fillId="0" borderId="13" xfId="0" applyNumberFormat="1" applyFont="1" applyBorder="1" applyProtection="1">
      <protection locked="0"/>
    </xf>
    <xf numFmtId="0" fontId="15" fillId="0" borderId="2" xfId="0" applyFont="1" applyBorder="1" applyAlignment="1">
      <alignment vertical="top" wrapText="1"/>
    </xf>
    <xf numFmtId="167" fontId="15" fillId="0" borderId="2" xfId="0" applyNumberFormat="1" applyFont="1" applyBorder="1" applyAlignment="1">
      <alignment vertical="top" wrapText="1"/>
    </xf>
    <xf numFmtId="0" fontId="15" fillId="0" borderId="13" xfId="0" applyFont="1" applyBorder="1" applyAlignment="1">
      <alignment vertical="top" wrapText="1"/>
    </xf>
    <xf numFmtId="166" fontId="5" fillId="0" borderId="3" xfId="0" applyNumberFormat="1" applyFont="1" applyBorder="1" applyAlignment="1" applyProtection="1">
      <alignment horizontal="center" vertical="center" wrapText="1"/>
      <protection hidden="1"/>
    </xf>
    <xf numFmtId="0" fontId="4" fillId="6" borderId="14" xfId="0" applyFont="1" applyFill="1" applyBorder="1" applyAlignment="1">
      <alignment horizontal="center"/>
    </xf>
    <xf numFmtId="2" fontId="5" fillId="6" borderId="3" xfId="0" applyNumberFormat="1" applyFont="1" applyFill="1" applyBorder="1" applyAlignment="1">
      <alignment horizontal="center"/>
    </xf>
    <xf numFmtId="164" fontId="4" fillId="6" borderId="7" xfId="0" applyNumberFormat="1" applyFont="1" applyFill="1" applyBorder="1"/>
    <xf numFmtId="0" fontId="5" fillId="6" borderId="11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4" fillId="6" borderId="3" xfId="0" applyFont="1" applyFill="1" applyBorder="1"/>
    <xf numFmtId="0" fontId="4" fillId="5" borderId="16" xfId="0" applyFont="1" applyFill="1" applyBorder="1" applyAlignment="1" applyProtection="1">
      <alignment horizontal="left"/>
      <protection hidden="1"/>
    </xf>
    <xf numFmtId="0" fontId="4" fillId="5" borderId="17" xfId="0" applyFont="1" applyFill="1" applyBorder="1" applyAlignment="1" applyProtection="1">
      <alignment horizontal="center"/>
      <protection hidden="1"/>
    </xf>
    <xf numFmtId="0" fontId="4" fillId="6" borderId="6" xfId="0" applyFont="1" applyFill="1" applyBorder="1" applyAlignment="1" applyProtection="1">
      <alignment horizontal="center"/>
      <protection locked="0"/>
    </xf>
    <xf numFmtId="0" fontId="16" fillId="0" borderId="1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165" fontId="4" fillId="7" borderId="17" xfId="0" applyNumberFormat="1" applyFont="1" applyFill="1" applyBorder="1" applyAlignment="1">
      <alignment horizontal="center"/>
    </xf>
    <xf numFmtId="165" fontId="4" fillId="7" borderId="19" xfId="0" applyNumberFormat="1" applyFont="1" applyFill="1" applyBorder="1" applyAlignment="1">
      <alignment horizontal="center"/>
    </xf>
    <xf numFmtId="165" fontId="4" fillId="7" borderId="20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164" fontId="4" fillId="7" borderId="0" xfId="0" applyNumberFormat="1" applyFont="1" applyFill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 vertical="center"/>
    </xf>
    <xf numFmtId="166" fontId="4" fillId="7" borderId="23" xfId="0" applyNumberFormat="1" applyFont="1" applyFill="1" applyBorder="1" applyAlignment="1">
      <alignment horizontal="center"/>
    </xf>
    <xf numFmtId="165" fontId="4" fillId="7" borderId="24" xfId="0" applyNumberFormat="1" applyFont="1" applyFill="1" applyBorder="1" applyAlignment="1">
      <alignment horizontal="center"/>
    </xf>
    <xf numFmtId="169" fontId="4" fillId="7" borderId="24" xfId="0" applyNumberFormat="1" applyFont="1" applyFill="1" applyBorder="1" applyAlignment="1">
      <alignment horizontal="center"/>
    </xf>
    <xf numFmtId="0" fontId="16" fillId="5" borderId="15" xfId="0" applyFont="1" applyFill="1" applyBorder="1" applyAlignment="1" applyProtection="1">
      <alignment horizontal="center" vertical="center" wrapText="1" shrinkToFit="1"/>
      <protection locked="0"/>
    </xf>
    <xf numFmtId="0" fontId="16" fillId="0" borderId="3" xfId="0" applyFont="1" applyBorder="1" applyAlignment="1" applyProtection="1">
      <alignment horizontal="center" vertical="center" wrapText="1" shrinkToFit="1"/>
      <protection locked="0"/>
    </xf>
    <xf numFmtId="0" fontId="24" fillId="0" borderId="3" xfId="0" applyFont="1" applyBorder="1" applyAlignment="1">
      <alignment horizontal="center"/>
    </xf>
    <xf numFmtId="0" fontId="4" fillId="6" borderId="9" xfId="0" applyFont="1" applyFill="1" applyBorder="1" applyAlignment="1" applyProtection="1">
      <alignment horizontal="right"/>
      <protection hidden="1"/>
    </xf>
    <xf numFmtId="0" fontId="4" fillId="5" borderId="25" xfId="0" applyFont="1" applyFill="1" applyBorder="1" applyAlignment="1" applyProtection="1">
      <alignment horizontal="left"/>
      <protection hidden="1"/>
    </xf>
    <xf numFmtId="0" fontId="4" fillId="5" borderId="26" xfId="0" applyFont="1" applyFill="1" applyBorder="1" applyAlignment="1" applyProtection="1">
      <alignment horizontal="left"/>
      <protection hidden="1"/>
    </xf>
    <xf numFmtId="0" fontId="36" fillId="0" borderId="0" xfId="0" applyFont="1"/>
    <xf numFmtId="0" fontId="4" fillId="5" borderId="0" xfId="0" applyFont="1" applyFill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7" fillId="0" borderId="0" xfId="0" applyFont="1" applyAlignment="1" applyProtection="1">
      <alignment horizontal="center"/>
      <protection locked="0"/>
    </xf>
    <xf numFmtId="165" fontId="37" fillId="0" borderId="0" xfId="0" applyNumberFormat="1" applyFont="1" applyAlignment="1" applyProtection="1">
      <alignment horizontal="center"/>
      <protection locked="0"/>
    </xf>
    <xf numFmtId="169" fontId="37" fillId="0" borderId="0" xfId="0" applyNumberFormat="1" applyFont="1" applyAlignment="1" applyProtection="1">
      <alignment horizontal="center"/>
      <protection locked="0"/>
    </xf>
    <xf numFmtId="167" fontId="37" fillId="0" borderId="0" xfId="0" applyNumberFormat="1" applyFont="1" applyAlignment="1" applyProtection="1">
      <alignment horizontal="center"/>
      <protection locked="0"/>
    </xf>
    <xf numFmtId="0" fontId="38" fillId="0" borderId="0" xfId="0" applyFont="1"/>
    <xf numFmtId="173" fontId="37" fillId="0" borderId="0" xfId="0" applyNumberFormat="1" applyFont="1" applyAlignment="1">
      <alignment horizontal="center"/>
    </xf>
    <xf numFmtId="166" fontId="37" fillId="0" borderId="0" xfId="0" applyNumberFormat="1" applyFont="1" applyAlignment="1" applyProtection="1">
      <alignment horizontal="center"/>
      <protection locked="0"/>
    </xf>
    <xf numFmtId="0" fontId="36" fillId="0" borderId="0" xfId="0" applyFont="1" applyAlignment="1">
      <alignment vertical="top" wrapText="1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/>
    </xf>
    <xf numFmtId="0" fontId="39" fillId="0" borderId="0" xfId="0" applyFont="1"/>
    <xf numFmtId="0" fontId="40" fillId="0" borderId="0" xfId="0" applyFont="1"/>
    <xf numFmtId="0" fontId="38" fillId="0" borderId="0" xfId="0" applyFont="1" applyAlignment="1">
      <alignment horizontal="center"/>
    </xf>
    <xf numFmtId="166" fontId="4" fillId="7" borderId="24" xfId="0" applyNumberFormat="1" applyFont="1" applyFill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12" xfId="0" applyFont="1" applyBorder="1"/>
    <xf numFmtId="164" fontId="4" fillId="7" borderId="12" xfId="0" applyNumberFormat="1" applyFont="1" applyFill="1" applyBorder="1" applyAlignment="1" applyProtection="1">
      <alignment horizontal="center"/>
      <protection locked="0"/>
    </xf>
    <xf numFmtId="0" fontId="5" fillId="6" borderId="3" xfId="0" applyFont="1" applyFill="1" applyBorder="1" applyAlignment="1">
      <alignment horizontal="center" vertical="center" wrapText="1"/>
    </xf>
    <xf numFmtId="168" fontId="4" fillId="5" borderId="23" xfId="0" applyNumberFormat="1" applyFont="1" applyFill="1" applyBorder="1" applyAlignment="1" applyProtection="1">
      <alignment horizontal="center"/>
      <protection locked="0"/>
    </xf>
    <xf numFmtId="168" fontId="4" fillId="7" borderId="24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left"/>
    </xf>
    <xf numFmtId="49" fontId="6" fillId="4" borderId="0" xfId="0" applyNumberFormat="1" applyFont="1" applyFill="1" applyAlignment="1">
      <alignment horizontal="right"/>
    </xf>
    <xf numFmtId="0" fontId="4" fillId="4" borderId="1" xfId="0" applyFont="1" applyFill="1" applyBorder="1"/>
    <xf numFmtId="0" fontId="13" fillId="4" borderId="0" xfId="0" applyFont="1" applyFill="1"/>
    <xf numFmtId="0" fontId="13" fillId="4" borderId="2" xfId="0" applyFont="1" applyFill="1" applyBorder="1"/>
    <xf numFmtId="0" fontId="4" fillId="4" borderId="2" xfId="0" applyFont="1" applyFill="1" applyBorder="1"/>
    <xf numFmtId="0" fontId="7" fillId="4" borderId="1" xfId="0" applyFont="1" applyFill="1" applyBorder="1"/>
    <xf numFmtId="0" fontId="9" fillId="4" borderId="3" xfId="0" applyFont="1" applyFill="1" applyBorder="1" applyAlignment="1">
      <alignment horizontal="center"/>
    </xf>
    <xf numFmtId="0" fontId="7" fillId="4" borderId="2" xfId="0" applyFont="1" applyFill="1" applyBorder="1"/>
    <xf numFmtId="0" fontId="7" fillId="4" borderId="0" xfId="0" applyFont="1" applyFill="1" applyAlignment="1" applyProtection="1">
      <alignment horizontal="right"/>
      <protection locked="0"/>
    </xf>
    <xf numFmtId="1" fontId="6" fillId="4" borderId="0" xfId="0" applyNumberFormat="1" applyFont="1" applyFill="1" applyAlignment="1" applyProtection="1">
      <alignment horizontal="center"/>
      <protection locked="0"/>
    </xf>
    <xf numFmtId="3" fontId="7" fillId="4" borderId="0" xfId="0" applyNumberFormat="1" applyFont="1" applyFill="1"/>
    <xf numFmtId="9" fontId="7" fillId="4" borderId="0" xfId="0" applyNumberFormat="1" applyFont="1" applyFill="1"/>
    <xf numFmtId="170" fontId="6" fillId="4" borderId="0" xfId="0" applyNumberFormat="1" applyFont="1" applyFill="1" applyAlignment="1">
      <alignment horizontal="center"/>
    </xf>
    <xf numFmtId="172" fontId="7" fillId="4" borderId="0" xfId="0" applyNumberFormat="1" applyFont="1" applyFill="1" applyAlignment="1" applyProtection="1">
      <alignment horizontal="left"/>
      <protection locked="0"/>
    </xf>
    <xf numFmtId="0" fontId="5" fillId="4" borderId="1" xfId="0" applyFont="1" applyFill="1" applyBorder="1" applyAlignment="1">
      <alignment vertical="center"/>
    </xf>
    <xf numFmtId="178" fontId="4" fillId="4" borderId="0" xfId="0" applyNumberFormat="1" applyFont="1" applyFill="1"/>
    <xf numFmtId="0" fontId="9" fillId="4" borderId="0" xfId="0" applyFont="1" applyFill="1" applyAlignment="1">
      <alignment vertical="center" wrapText="1" shrinkToFit="1"/>
    </xf>
    <xf numFmtId="0" fontId="8" fillId="4" borderId="0" xfId="0" applyFont="1" applyFill="1" applyAlignment="1">
      <alignment vertical="center" wrapText="1" shrinkToFit="1"/>
    </xf>
    <xf numFmtId="2" fontId="4" fillId="4" borderId="0" xfId="0" applyNumberFormat="1" applyFont="1" applyFill="1" applyAlignment="1">
      <alignment vertical="center" wrapText="1" shrinkToFit="1"/>
    </xf>
    <xf numFmtId="1" fontId="4" fillId="4" borderId="0" xfId="0" applyNumberFormat="1" applyFont="1" applyFill="1"/>
    <xf numFmtId="0" fontId="9" fillId="4" borderId="1" xfId="0" applyFont="1" applyFill="1" applyBorder="1"/>
    <xf numFmtId="0" fontId="23" fillId="4" borderId="1" xfId="0" applyFont="1" applyFill="1" applyBorder="1"/>
    <xf numFmtId="0" fontId="4" fillId="4" borderId="11" xfId="0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5" fillId="4" borderId="1" xfId="0" applyFont="1" applyFill="1" applyBorder="1" applyAlignment="1">
      <alignment horizontal="right"/>
    </xf>
    <xf numFmtId="49" fontId="5" fillId="4" borderId="0" xfId="0" applyNumberFormat="1" applyFont="1" applyFill="1" applyAlignment="1">
      <alignment horizontal="center"/>
    </xf>
    <xf numFmtId="0" fontId="5" fillId="4" borderId="2" xfId="0" applyFont="1" applyFill="1" applyBorder="1"/>
    <xf numFmtId="0" fontId="9" fillId="4" borderId="0" xfId="0" applyFont="1" applyFill="1" applyAlignment="1">
      <alignment horizontal="center"/>
    </xf>
    <xf numFmtId="49" fontId="9" fillId="4" borderId="0" xfId="0" applyNumberFormat="1" applyFont="1" applyFill="1"/>
    <xf numFmtId="0" fontId="8" fillId="4" borderId="0" xfId="0" applyFont="1" applyFill="1"/>
    <xf numFmtId="0" fontId="8" fillId="4" borderId="2" xfId="0" applyFont="1" applyFill="1" applyBorder="1"/>
    <xf numFmtId="0" fontId="8" fillId="4" borderId="28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67" fontId="4" fillId="0" borderId="0" xfId="0" applyNumberFormat="1" applyFont="1" applyAlignment="1" applyProtection="1">
      <alignment horizontal="center"/>
      <protection locked="0"/>
    </xf>
    <xf numFmtId="0" fontId="5" fillId="6" borderId="5" xfId="0" applyFont="1" applyFill="1" applyBorder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locked="0"/>
    </xf>
    <xf numFmtId="168" fontId="4" fillId="0" borderId="0" xfId="0" applyNumberFormat="1" applyFont="1" applyAlignment="1" applyProtection="1">
      <alignment horizontal="center"/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169" fontId="4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vertical="center"/>
    </xf>
    <xf numFmtId="174" fontId="4" fillId="7" borderId="23" xfId="0" applyNumberFormat="1" applyFont="1" applyFill="1" applyBorder="1" applyAlignment="1">
      <alignment horizontal="center"/>
    </xf>
    <xf numFmtId="167" fontId="4" fillId="5" borderId="23" xfId="0" applyNumberFormat="1" applyFont="1" applyFill="1" applyBorder="1" applyAlignment="1" applyProtection="1">
      <alignment horizontal="center"/>
      <protection locked="0"/>
    </xf>
    <xf numFmtId="0" fontId="5" fillId="6" borderId="30" xfId="0" applyFont="1" applyFill="1" applyBorder="1" applyProtection="1">
      <protection hidden="1"/>
    </xf>
    <xf numFmtId="0" fontId="5" fillId="6" borderId="31" xfId="0" applyFont="1" applyFill="1" applyBorder="1" applyProtection="1">
      <protection hidden="1"/>
    </xf>
    <xf numFmtId="0" fontId="5" fillId="6" borderId="4" xfId="0" applyFont="1" applyFill="1" applyBorder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0" fontId="16" fillId="0" borderId="32" xfId="0" applyFont="1" applyBorder="1" applyAlignment="1">
      <alignment horizontal="center"/>
    </xf>
    <xf numFmtId="0" fontId="16" fillId="6" borderId="3" xfId="0" applyFont="1" applyFill="1" applyBorder="1" applyAlignment="1" applyProtection="1">
      <alignment horizontal="center" vertical="center" wrapText="1" shrinkToFit="1"/>
      <protection locked="0"/>
    </xf>
    <xf numFmtId="0" fontId="16" fillId="6" borderId="15" xfId="0" applyFont="1" applyFill="1" applyBorder="1" applyAlignment="1" applyProtection="1">
      <alignment horizontal="center" vertical="center" wrapText="1" shrinkToFit="1"/>
      <protection locked="0"/>
    </xf>
    <xf numFmtId="0" fontId="16" fillId="6" borderId="3" xfId="0" applyFont="1" applyFill="1" applyBorder="1"/>
    <xf numFmtId="0" fontId="4" fillId="6" borderId="33" xfId="0" applyFont="1" applyFill="1" applyBorder="1" applyAlignment="1" applyProtection="1">
      <alignment horizontal="center"/>
      <protection locked="0"/>
    </xf>
    <xf numFmtId="2" fontId="4" fillId="6" borderId="18" xfId="0" applyNumberFormat="1" applyFont="1" applyFill="1" applyBorder="1" applyAlignment="1" applyProtection="1">
      <alignment horizontal="center"/>
      <protection hidden="1"/>
    </xf>
    <xf numFmtId="2" fontId="4" fillId="6" borderId="8" xfId="0" applyNumberFormat="1" applyFont="1" applyFill="1" applyBorder="1" applyAlignment="1" applyProtection="1">
      <alignment horizontal="center"/>
      <protection hidden="1"/>
    </xf>
    <xf numFmtId="2" fontId="4" fillId="6" borderId="32" xfId="0" applyNumberFormat="1" applyFont="1" applyFill="1" applyBorder="1" applyAlignment="1" applyProtection="1">
      <alignment horizontal="center"/>
      <protection hidden="1"/>
    </xf>
    <xf numFmtId="0" fontId="8" fillId="5" borderId="0" xfId="0" applyFont="1" applyFill="1" applyAlignment="1" applyProtection="1">
      <alignment horizontal="center"/>
      <protection locked="0"/>
    </xf>
    <xf numFmtId="0" fontId="8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8" fillId="5" borderId="0" xfId="0" applyFont="1" applyFill="1" applyAlignment="1">
      <alignment horizontal="right" vertical="center"/>
    </xf>
    <xf numFmtId="0" fontId="4" fillId="5" borderId="0" xfId="0" applyFont="1" applyFill="1" applyAlignment="1">
      <alignment horizontal="center" vertical="center" wrapText="1" shrinkToFit="1"/>
    </xf>
    <xf numFmtId="0" fontId="6" fillId="0" borderId="0" xfId="0" applyFont="1" applyAlignment="1" applyProtection="1">
      <alignment horizontal="center"/>
      <protection locked="0"/>
    </xf>
    <xf numFmtId="0" fontId="4" fillId="6" borderId="28" xfId="0" applyFont="1" applyFill="1" applyBorder="1" applyAlignment="1" applyProtection="1">
      <alignment horizontal="center" vertical="top" wrapText="1"/>
      <protection locked="0"/>
    </xf>
    <xf numFmtId="0" fontId="4" fillId="6" borderId="29" xfId="0" applyFont="1" applyFill="1" applyBorder="1" applyAlignment="1" applyProtection="1">
      <alignment horizontal="center" vertical="top" wrapText="1"/>
      <protection locked="0"/>
    </xf>
    <xf numFmtId="0" fontId="41" fillId="0" borderId="0" xfId="0" applyFont="1"/>
    <xf numFmtId="0" fontId="42" fillId="0" borderId="0" xfId="0" applyFont="1"/>
    <xf numFmtId="1" fontId="43" fillId="0" borderId="0" xfId="0" applyNumberFormat="1" applyFont="1" applyProtection="1">
      <protection locked="0"/>
    </xf>
    <xf numFmtId="0" fontId="44" fillId="0" borderId="0" xfId="0" applyFont="1"/>
    <xf numFmtId="164" fontId="45" fillId="0" borderId="0" xfId="0" applyNumberFormat="1" applyFont="1" applyProtection="1">
      <protection locked="0"/>
    </xf>
    <xf numFmtId="0" fontId="16" fillId="6" borderId="3" xfId="0" applyFont="1" applyFill="1" applyBorder="1" applyAlignment="1">
      <alignment horizontal="center" vertical="center"/>
    </xf>
    <xf numFmtId="0" fontId="16" fillId="4" borderId="0" xfId="0" applyFont="1" applyFill="1"/>
    <xf numFmtId="0" fontId="0" fillId="0" borderId="1" xfId="0" applyBorder="1"/>
    <xf numFmtId="0" fontId="0" fillId="0" borderId="2" xfId="0" applyBorder="1"/>
    <xf numFmtId="0" fontId="6" fillId="0" borderId="8" xfId="0" applyFont="1" applyBorder="1"/>
    <xf numFmtId="0" fontId="42" fillId="0" borderId="2" xfId="0" applyFont="1" applyBorder="1"/>
    <xf numFmtId="0" fontId="5" fillId="0" borderId="1" xfId="0" applyFont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5" fillId="6" borderId="6" xfId="0" applyFont="1" applyFill="1" applyBorder="1" applyAlignment="1" applyProtection="1">
      <alignment horizontal="right"/>
      <protection hidden="1"/>
    </xf>
    <xf numFmtId="0" fontId="4" fillId="5" borderId="20" xfId="0" applyFont="1" applyFill="1" applyBorder="1" applyAlignment="1" applyProtection="1">
      <alignment horizontal="center"/>
      <protection hidden="1"/>
    </xf>
    <xf numFmtId="0" fontId="4" fillId="6" borderId="37" xfId="0" applyFont="1" applyFill="1" applyBorder="1" applyProtection="1">
      <protection hidden="1"/>
    </xf>
    <xf numFmtId="0" fontId="4" fillId="5" borderId="38" xfId="0" applyFont="1" applyFill="1" applyBorder="1" applyAlignment="1" applyProtection="1">
      <alignment horizontal="left"/>
      <protection hidden="1"/>
    </xf>
    <xf numFmtId="0" fontId="46" fillId="6" borderId="39" xfId="0" applyFont="1" applyFill="1" applyBorder="1" applyAlignment="1">
      <alignment horizontal="right" wrapText="1"/>
    </xf>
    <xf numFmtId="0" fontId="46" fillId="6" borderId="16" xfId="0" applyFont="1" applyFill="1" applyBorder="1" applyAlignment="1">
      <alignment horizontal="right" wrapText="1"/>
    </xf>
    <xf numFmtId="0" fontId="46" fillId="6" borderId="37" xfId="0" applyFont="1" applyFill="1" applyBorder="1" applyAlignment="1">
      <alignment horizontal="right" vertical="center" wrapText="1"/>
    </xf>
    <xf numFmtId="0" fontId="6" fillId="4" borderId="0" xfId="0" applyFont="1" applyFill="1" applyAlignment="1">
      <alignment horizontal="right"/>
    </xf>
    <xf numFmtId="168" fontId="5" fillId="6" borderId="15" xfId="0" applyNumberFormat="1" applyFont="1" applyFill="1" applyBorder="1" applyAlignment="1">
      <alignment horizontal="center"/>
    </xf>
    <xf numFmtId="2" fontId="4" fillId="6" borderId="17" xfId="0" applyNumberFormat="1" applyFont="1" applyFill="1" applyBorder="1" applyAlignment="1" applyProtection="1">
      <alignment horizontal="center"/>
      <protection hidden="1"/>
    </xf>
    <xf numFmtId="2" fontId="4" fillId="6" borderId="19" xfId="0" applyNumberFormat="1" applyFont="1" applyFill="1" applyBorder="1" applyAlignment="1" applyProtection="1">
      <alignment horizontal="center"/>
      <protection hidden="1"/>
    </xf>
    <xf numFmtId="2" fontId="4" fillId="6" borderId="20" xfId="0" applyNumberFormat="1" applyFont="1" applyFill="1" applyBorder="1" applyAlignment="1" applyProtection="1">
      <alignment horizontal="center"/>
      <protection hidden="1"/>
    </xf>
    <xf numFmtId="2" fontId="4" fillId="6" borderId="21" xfId="0" applyNumberFormat="1" applyFont="1" applyFill="1" applyBorder="1" applyAlignment="1" applyProtection="1">
      <alignment horizontal="center"/>
      <protection hidden="1"/>
    </xf>
    <xf numFmtId="0" fontId="4" fillId="5" borderId="0" xfId="0" applyFont="1" applyFill="1"/>
    <xf numFmtId="0" fontId="8" fillId="5" borderId="0" xfId="0" applyFont="1" applyFill="1" applyAlignment="1" applyProtection="1">
      <alignment horizontal="left"/>
      <protection locked="0"/>
    </xf>
    <xf numFmtId="49" fontId="9" fillId="5" borderId="0" xfId="0" applyNumberFormat="1" applyFont="1" applyFill="1" applyAlignment="1">
      <alignment horizontal="right" vertical="center"/>
    </xf>
    <xf numFmtId="49" fontId="8" fillId="5" borderId="0" xfId="0" applyNumberFormat="1" applyFont="1" applyFill="1" applyAlignment="1" applyProtection="1">
      <alignment horizontal="center"/>
      <protection locked="0"/>
    </xf>
    <xf numFmtId="49" fontId="8" fillId="5" borderId="0" xfId="0" applyNumberFormat="1" applyFont="1" applyFill="1" applyProtection="1">
      <protection locked="0"/>
    </xf>
    <xf numFmtId="0" fontId="6" fillId="0" borderId="0" xfId="0" applyFont="1" applyProtection="1">
      <protection locked="0"/>
    </xf>
    <xf numFmtId="165" fontId="4" fillId="7" borderId="23" xfId="0" applyNumberFormat="1" applyFont="1" applyFill="1" applyBorder="1" applyAlignment="1">
      <alignment horizontal="center"/>
    </xf>
    <xf numFmtId="0" fontId="6" fillId="0" borderId="18" xfId="0" applyFont="1" applyBorder="1"/>
    <xf numFmtId="164" fontId="4" fillId="6" borderId="18" xfId="0" applyNumberFormat="1" applyFont="1" applyFill="1" applyBorder="1" applyAlignment="1" applyProtection="1">
      <alignment horizontal="center"/>
      <protection locked="0"/>
    </xf>
    <xf numFmtId="164" fontId="4" fillId="6" borderId="40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4" fillId="6" borderId="18" xfId="0" applyFont="1" applyFill="1" applyBorder="1" applyAlignment="1" applyProtection="1">
      <alignment horizontal="center"/>
      <protection locked="0"/>
    </xf>
    <xf numFmtId="0" fontId="4" fillId="6" borderId="41" xfId="0" applyFont="1" applyFill="1" applyBorder="1" applyAlignment="1" applyProtection="1">
      <alignment horizontal="center"/>
      <protection locked="0"/>
    </xf>
    <xf numFmtId="0" fontId="4" fillId="6" borderId="1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6" fillId="0" borderId="32" xfId="0" applyFont="1" applyBorder="1"/>
    <xf numFmtId="0" fontId="4" fillId="6" borderId="32" xfId="0" applyFont="1" applyFill="1" applyBorder="1" applyAlignment="1" applyProtection="1">
      <alignment horizontal="center"/>
      <protection locked="0"/>
    </xf>
    <xf numFmtId="0" fontId="4" fillId="6" borderId="27" xfId="0" applyFont="1" applyFill="1" applyBorder="1" applyAlignment="1" applyProtection="1">
      <alignment horizontal="center"/>
      <protection locked="0"/>
    </xf>
    <xf numFmtId="0" fontId="4" fillId="6" borderId="42" xfId="0" applyFont="1" applyFill="1" applyBorder="1" applyAlignment="1" applyProtection="1">
      <alignment horizontal="center"/>
      <protection locked="0"/>
    </xf>
    <xf numFmtId="0" fontId="4" fillId="6" borderId="32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7" fillId="4" borderId="0" xfId="0" applyFont="1" applyFill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7" fillId="4" borderId="0" xfId="0" applyFont="1" applyFill="1" applyAlignment="1">
      <alignment horizontal="left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Alignment="1">
      <alignment horizontal="center"/>
    </xf>
    <xf numFmtId="164" fontId="4" fillId="6" borderId="24" xfId="0" applyNumberFormat="1" applyFont="1" applyFill="1" applyBorder="1" applyAlignment="1" applyProtection="1">
      <alignment horizontal="center"/>
      <protection locked="0"/>
    </xf>
    <xf numFmtId="164" fontId="4" fillId="6" borderId="43" xfId="0" applyNumberFormat="1" applyFont="1" applyFill="1" applyBorder="1" applyAlignment="1" applyProtection="1">
      <alignment horizontal="center"/>
      <protection locked="0"/>
    </xf>
    <xf numFmtId="164" fontId="4" fillId="6" borderId="44" xfId="0" applyNumberFormat="1" applyFont="1" applyFill="1" applyBorder="1" applyAlignment="1" applyProtection="1">
      <alignment horizontal="center"/>
      <protection locked="0"/>
    </xf>
    <xf numFmtId="164" fontId="4" fillId="5" borderId="18" xfId="0" applyNumberFormat="1" applyFont="1" applyFill="1" applyBorder="1" applyAlignment="1" applyProtection="1">
      <alignment horizontal="center"/>
      <protection locked="0"/>
    </xf>
    <xf numFmtId="0" fontId="4" fillId="6" borderId="24" xfId="0" applyFont="1" applyFill="1" applyBorder="1" applyAlignment="1" applyProtection="1">
      <alignment horizontal="left"/>
      <protection hidden="1"/>
    </xf>
    <xf numFmtId="0" fontId="4" fillId="6" borderId="24" xfId="0" applyFont="1" applyFill="1" applyBorder="1" applyAlignment="1" applyProtection="1">
      <alignment horizontal="center"/>
      <protection hidden="1"/>
    </xf>
    <xf numFmtId="0" fontId="4" fillId="6" borderId="24" xfId="0" applyFont="1" applyFill="1" applyBorder="1" applyProtection="1">
      <protection hidden="1"/>
    </xf>
    <xf numFmtId="164" fontId="4" fillId="6" borderId="24" xfId="0" applyNumberFormat="1" applyFont="1" applyFill="1" applyBorder="1" applyAlignment="1" applyProtection="1">
      <alignment horizontal="center"/>
      <protection hidden="1"/>
    </xf>
    <xf numFmtId="0" fontId="5" fillId="6" borderId="24" xfId="0" applyFont="1" applyFill="1" applyBorder="1" applyProtection="1">
      <protection hidden="1"/>
    </xf>
    <xf numFmtId="0" fontId="4" fillId="0" borderId="24" xfId="0" applyFont="1" applyBorder="1" applyProtection="1">
      <protection hidden="1"/>
    </xf>
    <xf numFmtId="2" fontId="7" fillId="6" borderId="16" xfId="0" applyNumberFormat="1" applyFont="1" applyFill="1" applyBorder="1" applyAlignment="1" applyProtection="1">
      <alignment vertical="center" wrapText="1" shrinkToFit="1"/>
      <protection hidden="1"/>
    </xf>
    <xf numFmtId="0" fontId="7" fillId="6" borderId="16" xfId="0" applyFont="1" applyFill="1" applyBorder="1" applyAlignment="1" applyProtection="1">
      <alignment vertical="center" wrapText="1" shrinkToFit="1"/>
      <protection hidden="1"/>
    </xf>
    <xf numFmtId="0" fontId="7" fillId="6" borderId="45" xfId="0" applyFont="1" applyFill="1" applyBorder="1" applyAlignment="1" applyProtection="1">
      <alignment vertical="center" wrapText="1" shrinkToFit="1"/>
      <protection hidden="1"/>
    </xf>
    <xf numFmtId="0" fontId="4" fillId="6" borderId="23" xfId="0" applyFont="1" applyFill="1" applyBorder="1" applyAlignment="1" applyProtection="1">
      <alignment horizontal="right"/>
      <protection hidden="1"/>
    </xf>
    <xf numFmtId="0" fontId="4" fillId="6" borderId="23" xfId="0" applyFont="1" applyFill="1" applyBorder="1" applyAlignment="1" applyProtection="1">
      <alignment horizontal="left"/>
      <protection hidden="1"/>
    </xf>
    <xf numFmtId="2" fontId="2" fillId="6" borderId="3" xfId="0" applyNumberFormat="1" applyFont="1" applyFill="1" applyBorder="1" applyAlignment="1" applyProtection="1">
      <alignment horizontal="center"/>
      <protection locked="0"/>
    </xf>
    <xf numFmtId="0" fontId="6" fillId="0" borderId="5" xfId="0" applyFont="1" applyBorder="1"/>
    <xf numFmtId="0" fontId="6" fillId="0" borderId="4" xfId="0" applyFont="1" applyBorder="1"/>
    <xf numFmtId="0" fontId="6" fillId="0" borderId="6" xfId="0" applyFont="1" applyBorder="1"/>
    <xf numFmtId="0" fontId="4" fillId="5" borderId="32" xfId="0" applyFont="1" applyFill="1" applyBorder="1" applyAlignment="1" applyProtection="1">
      <alignment horizontal="center"/>
      <protection locked="0"/>
    </xf>
    <xf numFmtId="0" fontId="0" fillId="5" borderId="32" xfId="0" applyFill="1" applyBorder="1" applyAlignment="1">
      <alignment horizontal="center"/>
    </xf>
    <xf numFmtId="0" fontId="6" fillId="6" borderId="46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/>
    </xf>
    <xf numFmtId="0" fontId="2" fillId="8" borderId="24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vertical="center"/>
    </xf>
    <xf numFmtId="0" fontId="21" fillId="6" borderId="15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1" fontId="5" fillId="6" borderId="0" xfId="0" applyNumberFormat="1" applyFont="1" applyFill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167" fontId="4" fillId="5" borderId="0" xfId="0" applyNumberFormat="1" applyFont="1" applyFill="1" applyAlignment="1" applyProtection="1">
      <alignment horizontal="center"/>
      <protection hidden="1"/>
    </xf>
    <xf numFmtId="0" fontId="5" fillId="0" borderId="0" xfId="0" applyFont="1" applyAlignment="1">
      <alignment horizontal="right"/>
    </xf>
    <xf numFmtId="0" fontId="18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 applyProtection="1">
      <alignment horizontal="center" vertical="center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168" fontId="4" fillId="5" borderId="43" xfId="0" applyNumberFormat="1" applyFont="1" applyFill="1" applyBorder="1" applyAlignment="1" applyProtection="1">
      <alignment horizontal="center"/>
      <protection locked="0"/>
    </xf>
    <xf numFmtId="167" fontId="4" fillId="5" borderId="43" xfId="0" applyNumberFormat="1" applyFont="1" applyFill="1" applyBorder="1" applyAlignment="1" applyProtection="1">
      <alignment horizontal="center"/>
      <protection locked="0"/>
    </xf>
    <xf numFmtId="165" fontId="4" fillId="7" borderId="47" xfId="0" applyNumberFormat="1" applyFont="1" applyFill="1" applyBorder="1" applyAlignment="1">
      <alignment horizontal="center"/>
    </xf>
    <xf numFmtId="165" fontId="4" fillId="7" borderId="48" xfId="0" applyNumberFormat="1" applyFont="1" applyFill="1" applyBorder="1" applyAlignment="1">
      <alignment horizontal="center"/>
    </xf>
    <xf numFmtId="168" fontId="4" fillId="5" borderId="49" xfId="0" applyNumberFormat="1" applyFont="1" applyFill="1" applyBorder="1" applyAlignment="1" applyProtection="1">
      <alignment horizontal="center"/>
      <protection locked="0"/>
    </xf>
    <xf numFmtId="167" fontId="4" fillId="5" borderId="49" xfId="0" applyNumberFormat="1" applyFont="1" applyFill="1" applyBorder="1" applyAlignment="1" applyProtection="1">
      <alignment horizontal="center"/>
      <protection locked="0"/>
    </xf>
    <xf numFmtId="0" fontId="5" fillId="6" borderId="50" xfId="0" applyFont="1" applyFill="1" applyBorder="1" applyAlignment="1">
      <alignment horizontal="center" vertical="center" wrapText="1"/>
    </xf>
    <xf numFmtId="9" fontId="5" fillId="4" borderId="46" xfId="0" applyNumberFormat="1" applyFont="1" applyFill="1" applyBorder="1" applyAlignment="1">
      <alignment vertical="center"/>
    </xf>
    <xf numFmtId="3" fontId="8" fillId="4" borderId="51" xfId="0" applyNumberFormat="1" applyFont="1" applyFill="1" applyBorder="1"/>
    <xf numFmtId="0" fontId="7" fillId="4" borderId="51" xfId="0" applyFont="1" applyFill="1" applyBorder="1" applyAlignment="1">
      <alignment horizontal="right"/>
    </xf>
    <xf numFmtId="0" fontId="7" fillId="4" borderId="51" xfId="0" applyFont="1" applyFill="1" applyBorder="1"/>
    <xf numFmtId="9" fontId="38" fillId="4" borderId="0" xfId="0" applyNumberFormat="1" applyFont="1" applyFill="1" applyAlignment="1">
      <alignment vertical="center"/>
    </xf>
    <xf numFmtId="1" fontId="47" fillId="4" borderId="0" xfId="0" applyNumberFormat="1" applyFont="1" applyFill="1" applyAlignment="1">
      <alignment horizontal="center"/>
    </xf>
    <xf numFmtId="3" fontId="39" fillId="4" borderId="0" xfId="0" applyNumberFormat="1" applyFont="1" applyFill="1"/>
    <xf numFmtId="0" fontId="37" fillId="4" borderId="0" xfId="0" applyFont="1" applyFill="1"/>
    <xf numFmtId="0" fontId="36" fillId="4" borderId="0" xfId="0" applyFont="1" applyFill="1" applyAlignment="1">
      <alignment horizontal="right"/>
    </xf>
    <xf numFmtId="167" fontId="48" fillId="4" borderId="0" xfId="0" applyNumberFormat="1" applyFont="1" applyFill="1" applyAlignment="1">
      <alignment horizontal="center"/>
    </xf>
    <xf numFmtId="0" fontId="36" fillId="4" borderId="0" xfId="0" applyFont="1" applyFill="1"/>
    <xf numFmtId="0" fontId="37" fillId="4" borderId="2" xfId="0" applyFont="1" applyFill="1" applyBorder="1"/>
    <xf numFmtId="0" fontId="0" fillId="4" borderId="0" xfId="0" applyFill="1"/>
    <xf numFmtId="0" fontId="0" fillId="4" borderId="2" xfId="0" applyFill="1" applyBorder="1"/>
    <xf numFmtId="0" fontId="0" fillId="4" borderId="35" xfId="0" applyFill="1" applyBorder="1"/>
    <xf numFmtId="0" fontId="0" fillId="4" borderId="36" xfId="0" applyFill="1" applyBorder="1"/>
    <xf numFmtId="0" fontId="6" fillId="4" borderId="1" xfId="0" applyFont="1" applyFill="1" applyBorder="1"/>
    <xf numFmtId="0" fontId="2" fillId="4" borderId="0" xfId="0" applyFont="1" applyFill="1"/>
    <xf numFmtId="0" fontId="49" fillId="4" borderId="0" xfId="0" applyFont="1" applyFill="1"/>
    <xf numFmtId="0" fontId="18" fillId="4" borderId="4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18" fillId="4" borderId="6" xfId="0" applyFont="1" applyFill="1" applyBorder="1" applyAlignment="1">
      <alignment horizontal="center" vertical="top" wrapText="1"/>
    </xf>
    <xf numFmtId="1" fontId="0" fillId="6" borderId="15" xfId="0" applyNumberFormat="1" applyFill="1" applyBorder="1" applyAlignment="1">
      <alignment horizontal="center" vertical="center"/>
    </xf>
    <xf numFmtId="0" fontId="50" fillId="6" borderId="41" xfId="0" applyFont="1" applyFill="1" applyBorder="1" applyAlignment="1">
      <alignment horizontal="right" vertical="center" wrapText="1"/>
    </xf>
    <xf numFmtId="0" fontId="6" fillId="6" borderId="30" xfId="0" applyFont="1" applyFill="1" applyBorder="1" applyAlignment="1" applyProtection="1">
      <alignment horizontal="left" vertical="center" wrapText="1"/>
      <protection hidden="1"/>
    </xf>
    <xf numFmtId="2" fontId="5" fillId="4" borderId="52" xfId="0" applyNumberFormat="1" applyFont="1" applyFill="1" applyBorder="1" applyAlignment="1">
      <alignment horizontal="center"/>
    </xf>
    <xf numFmtId="0" fontId="25" fillId="4" borderId="30" xfId="0" applyFont="1" applyFill="1" applyBorder="1" applyAlignment="1">
      <alignment vertical="center" wrapText="1"/>
    </xf>
    <xf numFmtId="0" fontId="25" fillId="4" borderId="31" xfId="0" applyFont="1" applyFill="1" applyBorder="1" applyAlignment="1">
      <alignment vertical="center" wrapText="1"/>
    </xf>
    <xf numFmtId="49" fontId="5" fillId="4" borderId="0" xfId="0" applyNumberFormat="1" applyFont="1" applyFill="1" applyAlignment="1">
      <alignment horizontal="left"/>
    </xf>
    <xf numFmtId="49" fontId="5" fillId="4" borderId="0" xfId="0" applyNumberFormat="1" applyFont="1" applyFill="1"/>
    <xf numFmtId="0" fontId="0" fillId="0" borderId="0" xfId="0" applyAlignment="1">
      <alignment horizontal="center" wrapText="1"/>
    </xf>
    <xf numFmtId="1" fontId="2" fillId="5" borderId="4" xfId="0" applyNumberFormat="1" applyFont="1" applyFill="1" applyBorder="1" applyAlignment="1" applyProtection="1">
      <alignment horizontal="center"/>
      <protection locked="0"/>
    </xf>
    <xf numFmtId="1" fontId="4" fillId="4" borderId="53" xfId="0" applyNumberFormat="1" applyFont="1" applyFill="1" applyBorder="1" applyAlignment="1" applyProtection="1">
      <alignment horizontal="center"/>
      <protection locked="0"/>
    </xf>
    <xf numFmtId="1" fontId="5" fillId="4" borderId="29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/>
    <xf numFmtId="0" fontId="9" fillId="7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9" fillId="4" borderId="51" xfId="0" applyNumberFormat="1" applyFont="1" applyFill="1" applyBorder="1" applyAlignment="1">
      <alignment horizont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55" fillId="0" borderId="0" xfId="0" applyFont="1"/>
    <xf numFmtId="0" fontId="55" fillId="0" borderId="0" xfId="0" applyFont="1" applyAlignment="1">
      <alignment vertical="center"/>
    </xf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10" xfId="0" applyBorder="1"/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60" xfId="0" applyBorder="1"/>
    <xf numFmtId="0" fontId="55" fillId="0" borderId="60" xfId="0" applyFont="1" applyBorder="1"/>
    <xf numFmtId="14" fontId="56" fillId="0" borderId="0" xfId="0" applyNumberFormat="1" applyFont="1"/>
    <xf numFmtId="0" fontId="56" fillId="0" borderId="60" xfId="0" applyFont="1" applyBorder="1"/>
    <xf numFmtId="0" fontId="57" fillId="0" borderId="0" xfId="0" applyFont="1"/>
    <xf numFmtId="0" fontId="57" fillId="0" borderId="61" xfId="0" applyFont="1" applyBorder="1"/>
    <xf numFmtId="0" fontId="57" fillId="0" borderId="0" xfId="0" applyFont="1" applyAlignment="1">
      <alignment horizontal="right"/>
    </xf>
    <xf numFmtId="14" fontId="57" fillId="0" borderId="0" xfId="0" applyNumberFormat="1" applyFont="1" applyAlignment="1">
      <alignment horizontal="center"/>
    </xf>
    <xf numFmtId="0" fontId="57" fillId="0" borderId="60" xfId="0" applyFont="1" applyBorder="1" applyAlignment="1">
      <alignment horizontal="left"/>
    </xf>
    <xf numFmtId="0" fontId="0" fillId="0" borderId="61" xfId="0" applyBorder="1"/>
    <xf numFmtId="0" fontId="57" fillId="0" borderId="60" xfId="0" applyFont="1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56" fillId="0" borderId="0" xfId="0" applyFont="1"/>
    <xf numFmtId="9" fontId="0" fillId="0" borderId="0" xfId="0" applyNumberFormat="1" applyAlignment="1">
      <alignment horizontal="center"/>
    </xf>
    <xf numFmtId="0" fontId="56" fillId="0" borderId="61" xfId="0" applyFont="1" applyBorder="1" applyAlignment="1">
      <alignment vertical="center"/>
    </xf>
    <xf numFmtId="0" fontId="0" fillId="0" borderId="0" xfId="0" applyAlignment="1">
      <alignment vertical="center"/>
    </xf>
    <xf numFmtId="0" fontId="55" fillId="0" borderId="61" xfId="0" applyFont="1" applyBorder="1" applyAlignment="1">
      <alignment horizontal="right" vertical="center"/>
    </xf>
    <xf numFmtId="0" fontId="57" fillId="0" borderId="0" xfId="0" applyFont="1" applyAlignment="1">
      <alignment horizontal="right" vertical="center"/>
    </xf>
    <xf numFmtId="179" fontId="55" fillId="0" borderId="0" xfId="0" applyNumberFormat="1" applyFont="1" applyAlignment="1">
      <alignment horizontal="right" vertical="center"/>
    </xf>
    <xf numFmtId="176" fontId="55" fillId="0" borderId="0" xfId="0" applyNumberFormat="1" applyFont="1" applyAlignment="1">
      <alignment horizontal="right" vertical="center"/>
    </xf>
    <xf numFmtId="176" fontId="55" fillId="0" borderId="60" xfId="0" applyNumberFormat="1" applyFont="1" applyBorder="1" applyAlignment="1">
      <alignment horizontal="right" vertical="center"/>
    </xf>
    <xf numFmtId="0" fontId="55" fillId="0" borderId="0" xfId="0" applyFont="1" applyAlignment="1">
      <alignment horizontal="right"/>
    </xf>
    <xf numFmtId="0" fontId="55" fillId="0" borderId="57" xfId="0" applyFont="1" applyBorder="1" applyAlignment="1">
      <alignment horizontal="right" vertical="center"/>
    </xf>
    <xf numFmtId="0" fontId="57" fillId="0" borderId="58" xfId="0" applyFont="1" applyBorder="1" applyAlignment="1">
      <alignment horizontal="right" vertical="center"/>
    </xf>
    <xf numFmtId="0" fontId="55" fillId="0" borderId="58" xfId="0" applyFont="1" applyBorder="1" applyAlignment="1">
      <alignment horizontal="right" vertical="center"/>
    </xf>
    <xf numFmtId="0" fontId="55" fillId="0" borderId="59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8" fillId="0" borderId="0" xfId="0" applyFont="1"/>
    <xf numFmtId="0" fontId="55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5" fillId="0" borderId="0" xfId="0" applyFont="1" applyAlignment="1">
      <alignment horizontal="center" wrapText="1"/>
    </xf>
    <xf numFmtId="0" fontId="59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 readingOrder="1"/>
    </xf>
    <xf numFmtId="0" fontId="60" fillId="0" borderId="0" xfId="0" applyFont="1" applyAlignment="1">
      <alignment horizontal="left" vertical="center"/>
    </xf>
    <xf numFmtId="0" fontId="35" fillId="0" borderId="0" xfId="0" applyFont="1" applyAlignment="1">
      <alignment horizontal="right"/>
    </xf>
    <xf numFmtId="0" fontId="0" fillId="0" borderId="0" xfId="0" applyAlignment="1">
      <alignment horizontal="left"/>
    </xf>
    <xf numFmtId="0" fontId="58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62" fillId="0" borderId="0" xfId="0" applyFont="1" applyAlignment="1">
      <alignment horizontal="right" vertical="center"/>
    </xf>
    <xf numFmtId="0" fontId="55" fillId="0" borderId="0" xfId="0" applyFont="1" applyAlignment="1">
      <alignment horizontal="right" vertical="center"/>
    </xf>
    <xf numFmtId="0" fontId="63" fillId="0" borderId="0" xfId="3" applyFont="1"/>
    <xf numFmtId="0" fontId="64" fillId="0" borderId="0" xfId="3" applyFont="1"/>
    <xf numFmtId="0" fontId="65" fillId="0" borderId="0" xfId="3" applyFont="1"/>
    <xf numFmtId="0" fontId="66" fillId="0" borderId="0" xfId="3" applyFont="1" applyAlignment="1">
      <alignment horizontal="right"/>
    </xf>
    <xf numFmtId="0" fontId="67" fillId="0" borderId="0" xfId="3" applyFont="1"/>
    <xf numFmtId="0" fontId="68" fillId="0" borderId="0" xfId="3" applyFont="1"/>
    <xf numFmtId="0" fontId="67" fillId="0" borderId="0" xfId="3" applyFont="1" applyAlignment="1">
      <alignment horizontal="left"/>
    </xf>
    <xf numFmtId="0" fontId="69" fillId="0" borderId="0" xfId="3" applyFont="1"/>
    <xf numFmtId="0" fontId="70" fillId="0" borderId="0" xfId="3" applyFont="1" applyAlignment="1">
      <alignment horizontal="right"/>
    </xf>
    <xf numFmtId="0" fontId="63" fillId="0" borderId="10" xfId="3" applyFont="1" applyBorder="1"/>
    <xf numFmtId="0" fontId="71" fillId="0" borderId="0" xfId="3" applyFont="1" applyAlignment="1">
      <alignment horizontal="right"/>
    </xf>
    <xf numFmtId="14" fontId="63" fillId="0" borderId="58" xfId="3" applyNumberFormat="1" applyFont="1" applyBorder="1" applyAlignment="1">
      <alignment horizontal="left"/>
    </xf>
    <xf numFmtId="14" fontId="63" fillId="0" borderId="0" xfId="3" applyNumberFormat="1" applyFont="1"/>
    <xf numFmtId="0" fontId="72" fillId="0" borderId="24" xfId="3" applyFont="1" applyBorder="1" applyAlignment="1">
      <alignment horizontal="right"/>
    </xf>
    <xf numFmtId="0" fontId="71" fillId="0" borderId="0" xfId="3" applyFont="1" applyAlignment="1">
      <alignment horizontal="left"/>
    </xf>
    <xf numFmtId="0" fontId="63" fillId="0" borderId="58" xfId="3" applyFont="1" applyBorder="1"/>
    <xf numFmtId="0" fontId="63" fillId="0" borderId="0" xfId="3" applyFont="1" applyAlignment="1">
      <alignment horizontal="center"/>
    </xf>
    <xf numFmtId="0" fontId="71" fillId="0" borderId="24" xfId="3" applyFont="1" applyBorder="1" applyAlignment="1">
      <alignment horizontal="right"/>
    </xf>
    <xf numFmtId="0" fontId="73" fillId="0" borderId="0" xfId="0" applyFont="1" applyAlignment="1">
      <alignment vertical="center" wrapText="1"/>
    </xf>
    <xf numFmtId="0" fontId="74" fillId="0" borderId="0" xfId="0" applyFont="1"/>
    <xf numFmtId="0" fontId="75" fillId="0" borderId="0" xfId="0" applyFont="1" applyAlignment="1">
      <alignment vertical="center"/>
    </xf>
    <xf numFmtId="0" fontId="76" fillId="0" borderId="0" xfId="0" applyFont="1" applyAlignment="1">
      <alignment horizontal="left" vertical="center"/>
    </xf>
    <xf numFmtId="0" fontId="76" fillId="0" borderId="60" xfId="0" applyFont="1" applyBorder="1" applyAlignment="1">
      <alignment horizontal="left" vertical="center"/>
    </xf>
    <xf numFmtId="0" fontId="76" fillId="0" borderId="0" xfId="0" applyFont="1" applyAlignment="1">
      <alignment vertical="center"/>
    </xf>
    <xf numFmtId="0" fontId="76" fillId="0" borderId="60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77" fillId="0" borderId="61" xfId="0" applyFont="1" applyBorder="1" applyAlignment="1">
      <alignment vertical="center"/>
    </xf>
    <xf numFmtId="0" fontId="77" fillId="0" borderId="61" xfId="0" applyFont="1" applyBorder="1"/>
    <xf numFmtId="0" fontId="77" fillId="0" borderId="0" xfId="0" applyFont="1"/>
    <xf numFmtId="0" fontId="4" fillId="0" borderId="62" xfId="0" applyFont="1" applyBorder="1"/>
    <xf numFmtId="0" fontId="4" fillId="0" borderId="61" xfId="0" applyFont="1" applyBorder="1"/>
    <xf numFmtId="0" fontId="78" fillId="0" borderId="0" xfId="0" applyFont="1"/>
    <xf numFmtId="0" fontId="74" fillId="0" borderId="61" xfId="0" applyFont="1" applyBorder="1" applyAlignment="1">
      <alignment horizontal="right"/>
    </xf>
    <xf numFmtId="0" fontId="77" fillId="0" borderId="0" xfId="0" applyFont="1" applyAlignment="1">
      <alignment horizontal="right"/>
    </xf>
    <xf numFmtId="0" fontId="74" fillId="0" borderId="0" xfId="0" applyFont="1" applyAlignment="1">
      <alignment horizontal="right"/>
    </xf>
    <xf numFmtId="0" fontId="76" fillId="0" borderId="0" xfId="0" applyFont="1"/>
    <xf numFmtId="14" fontId="76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49" fontId="76" fillId="0" borderId="0" xfId="0" applyNumberFormat="1" applyFont="1"/>
    <xf numFmtId="0" fontId="77" fillId="0" borderId="0" xfId="0" applyFont="1" applyAlignment="1">
      <alignment horizontal="center" vertical="center"/>
    </xf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77" fillId="0" borderId="0" xfId="0" applyFont="1" applyAlignment="1">
      <alignment horizontal="right" vertical="center"/>
    </xf>
    <xf numFmtId="0" fontId="74" fillId="0" borderId="0" xfId="0" applyFont="1" applyAlignment="1">
      <alignment horizontal="right" vertical="center"/>
    </xf>
    <xf numFmtId="0" fontId="79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6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77" fillId="0" borderId="0" xfId="0" applyFont="1" applyAlignment="1">
      <alignment vertical="center"/>
    </xf>
    <xf numFmtId="0" fontId="75" fillId="0" borderId="0" xfId="0" applyFont="1" applyAlignment="1">
      <alignment horizontal="center" wrapText="1"/>
    </xf>
    <xf numFmtId="2" fontId="5" fillId="4" borderId="29" xfId="0" applyNumberFormat="1" applyFont="1" applyFill="1" applyBorder="1" applyAlignment="1">
      <alignment horizontal="center" vertical="center" wrapText="1" shrinkToFit="1"/>
    </xf>
    <xf numFmtId="176" fontId="79" fillId="0" borderId="60" xfId="0" applyNumberFormat="1" applyFont="1" applyBorder="1" applyAlignment="1">
      <alignment horizontal="left" vertical="center"/>
    </xf>
    <xf numFmtId="0" fontId="0" fillId="0" borderId="24" xfId="0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horizontal="center" vertical="top"/>
    </xf>
    <xf numFmtId="165" fontId="0" fillId="0" borderId="24" xfId="0" applyNumberFormat="1" applyBorder="1" applyAlignment="1">
      <alignment horizontal="center"/>
    </xf>
    <xf numFmtId="169" fontId="0" fillId="0" borderId="24" xfId="0" applyNumberFormat="1" applyBorder="1" applyAlignment="1">
      <alignment horizontal="center"/>
    </xf>
    <xf numFmtId="0" fontId="0" fillId="0" borderId="0" xfId="0" applyAlignment="1">
      <alignment vertical="top"/>
    </xf>
    <xf numFmtId="169" fontId="0" fillId="0" borderId="0" xfId="0" applyNumberFormat="1"/>
    <xf numFmtId="165" fontId="0" fillId="0" borderId="0" xfId="0" applyNumberFormat="1"/>
    <xf numFmtId="1" fontId="0" fillId="0" borderId="0" xfId="0" applyNumberFormat="1"/>
    <xf numFmtId="0" fontId="0" fillId="9" borderId="24" xfId="0" applyFill="1" applyBorder="1" applyAlignment="1">
      <alignment horizontal="center"/>
    </xf>
    <xf numFmtId="0" fontId="0" fillId="9" borderId="24" xfId="0" applyFill="1" applyBorder="1" applyAlignment="1">
      <alignment horizontal="center" vertical="top"/>
    </xf>
    <xf numFmtId="0" fontId="0" fillId="9" borderId="24" xfId="0" applyFill="1" applyBorder="1"/>
    <xf numFmtId="0" fontId="16" fillId="0" borderId="24" xfId="0" applyFont="1" applyBorder="1" applyAlignment="1">
      <alignment horizontal="center"/>
    </xf>
    <xf numFmtId="0" fontId="16" fillId="8" borderId="9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80" fillId="0" borderId="0" xfId="0" applyFont="1" applyAlignment="1">
      <alignment horizontal="center" vertical="center" wrapText="1" shrinkToFit="1"/>
    </xf>
    <xf numFmtId="0" fontId="81" fillId="0" borderId="0" xfId="0" applyFont="1" applyAlignment="1">
      <alignment horizontal="center" vertical="center" wrapText="1" shrinkToFit="1"/>
    </xf>
    <xf numFmtId="0" fontId="4" fillId="7" borderId="1" xfId="0" applyFont="1" applyFill="1" applyBorder="1" applyAlignment="1">
      <alignment horizontal="center"/>
    </xf>
    <xf numFmtId="0" fontId="15" fillId="0" borderId="12" xfId="0" applyFont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41" xfId="0" applyFont="1" applyFill="1" applyBorder="1" applyAlignment="1">
      <alignment horizontal="center" vertical="center"/>
    </xf>
    <xf numFmtId="0" fontId="24" fillId="4" borderId="40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left"/>
    </xf>
    <xf numFmtId="49" fontId="10" fillId="4" borderId="0" xfId="0" applyNumberFormat="1" applyFont="1" applyFill="1" applyAlignment="1">
      <alignment horizontal="left"/>
    </xf>
    <xf numFmtId="49" fontId="10" fillId="4" borderId="2" xfId="0" applyNumberFormat="1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 vertical="center" wrapText="1"/>
    </xf>
    <xf numFmtId="0" fontId="31" fillId="4" borderId="51" xfId="0" applyFont="1" applyFill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4" borderId="24" xfId="0" applyFill="1" applyBorder="1" applyAlignment="1">
      <alignment horizontal="center"/>
    </xf>
    <xf numFmtId="167" fontId="16" fillId="0" borderId="24" xfId="0" applyNumberFormat="1" applyFont="1" applyBorder="1" applyAlignment="1">
      <alignment horizontal="center"/>
    </xf>
    <xf numFmtId="0" fontId="31" fillId="4" borderId="24" xfId="0" applyFont="1" applyFill="1" applyBorder="1" applyAlignment="1">
      <alignment horizontal="center" vertical="center" wrapText="1"/>
    </xf>
    <xf numFmtId="0" fontId="16" fillId="8" borderId="51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164" fontId="16" fillId="8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24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wrapText="1"/>
    </xf>
    <xf numFmtId="0" fontId="4" fillId="10" borderId="5" xfId="0" applyFont="1" applyFill="1" applyBorder="1" applyAlignment="1">
      <alignment horizontal="center"/>
    </xf>
    <xf numFmtId="165" fontId="4" fillId="10" borderId="24" xfId="0" applyNumberFormat="1" applyFont="1" applyFill="1" applyBorder="1" applyAlignment="1">
      <alignment horizontal="center"/>
    </xf>
    <xf numFmtId="166" fontId="4" fillId="10" borderId="24" xfId="0" applyNumberFormat="1" applyFont="1" applyFill="1" applyBorder="1" applyAlignment="1">
      <alignment horizontal="center"/>
    </xf>
    <xf numFmtId="174" fontId="4" fillId="10" borderId="23" xfId="0" applyNumberFormat="1" applyFont="1" applyFill="1" applyBorder="1" applyAlignment="1">
      <alignment horizontal="center"/>
    </xf>
    <xf numFmtId="169" fontId="4" fillId="10" borderId="43" xfId="0" applyNumberFormat="1" applyFont="1" applyFill="1" applyBorder="1" applyAlignment="1">
      <alignment horizontal="center"/>
    </xf>
    <xf numFmtId="169" fontId="4" fillId="10" borderId="24" xfId="0" applyNumberFormat="1" applyFont="1" applyFill="1" applyBorder="1" applyAlignment="1">
      <alignment horizontal="center"/>
    </xf>
    <xf numFmtId="169" fontId="4" fillId="10" borderId="19" xfId="0" applyNumberFormat="1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165" fontId="4" fillId="10" borderId="44" xfId="0" applyNumberFormat="1" applyFont="1" applyFill="1" applyBorder="1" applyAlignment="1">
      <alignment horizontal="center"/>
    </xf>
    <xf numFmtId="166" fontId="4" fillId="10" borderId="44" xfId="0" applyNumberFormat="1" applyFont="1" applyFill="1" applyBorder="1" applyAlignment="1">
      <alignment horizontal="center"/>
    </xf>
    <xf numFmtId="174" fontId="4" fillId="10" borderId="44" xfId="0" applyNumberFormat="1" applyFont="1" applyFill="1" applyBorder="1" applyAlignment="1">
      <alignment horizontal="center"/>
    </xf>
    <xf numFmtId="169" fontId="4" fillId="10" borderId="44" xfId="0" applyNumberFormat="1" applyFont="1" applyFill="1" applyBorder="1" applyAlignment="1">
      <alignment horizontal="center"/>
    </xf>
    <xf numFmtId="169" fontId="4" fillId="10" borderId="21" xfId="0" applyNumberFormat="1" applyFont="1" applyFill="1" applyBorder="1" applyAlignment="1">
      <alignment horizontal="center"/>
    </xf>
    <xf numFmtId="1" fontId="8" fillId="4" borderId="50" xfId="0" applyNumberFormat="1" applyFont="1" applyFill="1" applyBorder="1" applyAlignment="1">
      <alignment horizontal="center" vertical="center" wrapText="1" shrinkToFit="1"/>
    </xf>
    <xf numFmtId="0" fontId="8" fillId="4" borderId="46" xfId="0" applyFont="1" applyFill="1" applyBorder="1" applyAlignment="1">
      <alignment horizontal="center" vertical="center" wrapText="1" shrinkToFit="1"/>
    </xf>
    <xf numFmtId="0" fontId="8" fillId="4" borderId="9" xfId="0" applyFont="1" applyFill="1" applyBorder="1" applyAlignment="1">
      <alignment horizontal="center" vertical="center" wrapText="1" shrinkToFit="1"/>
    </xf>
    <xf numFmtId="1" fontId="4" fillId="4" borderId="64" xfId="0" applyNumberFormat="1" applyFont="1" applyFill="1" applyBorder="1" applyAlignment="1" applyProtection="1">
      <alignment horizontal="center"/>
      <protection locked="0"/>
    </xf>
    <xf numFmtId="2" fontId="5" fillId="4" borderId="65" xfId="0" applyNumberFormat="1" applyFont="1" applyFill="1" applyBorder="1" applyAlignment="1">
      <alignment horizontal="center" vertical="center" wrapText="1" shrinkToFit="1"/>
    </xf>
    <xf numFmtId="2" fontId="5" fillId="4" borderId="66" xfId="0" applyNumberFormat="1" applyFont="1" applyFill="1" applyBorder="1" applyAlignment="1">
      <alignment horizontal="center"/>
    </xf>
    <xf numFmtId="1" fontId="4" fillId="4" borderId="24" xfId="0" applyNumberFormat="1" applyFont="1" applyFill="1" applyBorder="1" applyAlignment="1" applyProtection="1">
      <alignment horizontal="center"/>
      <protection locked="0"/>
    </xf>
    <xf numFmtId="2" fontId="5" fillId="4" borderId="24" xfId="0" applyNumberFormat="1" applyFont="1" applyFill="1" applyBorder="1" applyAlignment="1">
      <alignment horizontal="center" vertical="center" wrapText="1" shrinkToFit="1"/>
    </xf>
    <xf numFmtId="2" fontId="5" fillId="4" borderId="24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" fontId="4" fillId="7" borderId="8" xfId="0" applyNumberFormat="1" applyFont="1" applyFill="1" applyBorder="1" applyAlignment="1" applyProtection="1">
      <alignment horizontal="center"/>
      <protection locked="0"/>
    </xf>
    <xf numFmtId="169" fontId="4" fillId="7" borderId="18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" fontId="4" fillId="7" borderId="32" xfId="0" applyNumberFormat="1" applyFont="1" applyFill="1" applyBorder="1" applyAlignment="1" applyProtection="1">
      <alignment horizontal="center"/>
      <protection locked="0"/>
    </xf>
    <xf numFmtId="0" fontId="0" fillId="8" borderId="24" xfId="0" applyFill="1" applyBorder="1"/>
    <xf numFmtId="169" fontId="4" fillId="9" borderId="18" xfId="0" applyNumberFormat="1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1" fontId="0" fillId="4" borderId="0" xfId="0" applyNumberFormat="1" applyFill="1"/>
    <xf numFmtId="167" fontId="4" fillId="7" borderId="33" xfId="0" applyNumberFormat="1" applyFont="1" applyFill="1" applyBorder="1" applyAlignment="1" applyProtection="1">
      <alignment horizontal="center"/>
      <protection locked="0"/>
    </xf>
    <xf numFmtId="167" fontId="4" fillId="7" borderId="27" xfId="0" applyNumberFormat="1" applyFont="1" applyFill="1" applyBorder="1" applyAlignment="1" applyProtection="1">
      <alignment horizontal="center"/>
      <protection locked="0"/>
    </xf>
    <xf numFmtId="0" fontId="2" fillId="0" borderId="0" xfId="0" applyFont="1"/>
    <xf numFmtId="0" fontId="5" fillId="7" borderId="14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/>
    </xf>
    <xf numFmtId="169" fontId="4" fillId="7" borderId="23" xfId="0" applyNumberFormat="1" applyFont="1" applyFill="1" applyBorder="1" applyAlignment="1">
      <alignment horizontal="center"/>
    </xf>
    <xf numFmtId="169" fontId="4" fillId="7" borderId="68" xfId="0" applyNumberFormat="1" applyFont="1" applyFill="1" applyBorder="1" applyAlignment="1">
      <alignment horizontal="center"/>
    </xf>
    <xf numFmtId="0" fontId="4" fillId="7" borderId="24" xfId="0" applyFont="1" applyFill="1" applyBorder="1" applyAlignment="1">
      <alignment horizontal="center"/>
    </xf>
    <xf numFmtId="174" fontId="4" fillId="7" borderId="24" xfId="0" applyNumberFormat="1" applyFont="1" applyFill="1" applyBorder="1" applyAlignment="1">
      <alignment horizontal="center"/>
    </xf>
    <xf numFmtId="0" fontId="0" fillId="0" borderId="16" xfId="0" applyBorder="1"/>
    <xf numFmtId="0" fontId="2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center"/>
    </xf>
    <xf numFmtId="0" fontId="31" fillId="4" borderId="46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16" fillId="0" borderId="0" xfId="0" applyFont="1"/>
    <xf numFmtId="0" fontId="2" fillId="0" borderId="24" xfId="0" applyFont="1" applyBorder="1" applyAlignment="1">
      <alignment horizontal="center"/>
    </xf>
    <xf numFmtId="0" fontId="31" fillId="0" borderId="25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right" vertical="center" wrapText="1"/>
    </xf>
    <xf numFmtId="0" fontId="31" fillId="0" borderId="2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 wrapText="1"/>
    </xf>
    <xf numFmtId="0" fontId="16" fillId="0" borderId="26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6" fillId="0" borderId="38" xfId="0" applyFont="1" applyBorder="1" applyAlignment="1">
      <alignment horizontal="center"/>
    </xf>
    <xf numFmtId="167" fontId="16" fillId="0" borderId="44" xfId="0" applyNumberFormat="1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1" xfId="0" applyBorder="1" applyAlignment="1">
      <alignment horizontal="center"/>
    </xf>
    <xf numFmtId="14" fontId="76" fillId="0" borderId="0" xfId="0" applyNumberFormat="1" applyFont="1" applyAlignment="1">
      <alignment horizontal="center"/>
    </xf>
    <xf numFmtId="1" fontId="4" fillId="7" borderId="5" xfId="0" applyNumberFormat="1" applyFont="1" applyFill="1" applyBorder="1" applyAlignment="1" applyProtection="1">
      <alignment horizontal="center"/>
      <protection locked="0"/>
    </xf>
    <xf numFmtId="1" fontId="4" fillId="7" borderId="6" xfId="0" applyNumberFormat="1" applyFont="1" applyFill="1" applyBorder="1" applyAlignment="1" applyProtection="1">
      <alignment horizontal="center"/>
      <protection locked="0"/>
    </xf>
    <xf numFmtId="2" fontId="6" fillId="4" borderId="51" xfId="0" applyNumberFormat="1" applyFont="1" applyFill="1" applyBorder="1" applyAlignment="1">
      <alignment horizontal="center"/>
    </xf>
    <xf numFmtId="0" fontId="0" fillId="11" borderId="0" xfId="0" applyFill="1"/>
    <xf numFmtId="0" fontId="79" fillId="0" borderId="0" xfId="0" applyFont="1" applyAlignment="1">
      <alignment horizontal="left" vertical="center"/>
    </xf>
    <xf numFmtId="164" fontId="4" fillId="6" borderId="24" xfId="0" applyNumberFormat="1" applyFont="1" applyFill="1" applyBorder="1" applyAlignment="1" applyProtection="1">
      <alignment horizontal="left"/>
      <protection hidden="1"/>
    </xf>
    <xf numFmtId="164" fontId="79" fillId="0" borderId="0" xfId="0" applyNumberFormat="1" applyFont="1" applyAlignment="1">
      <alignment horizontal="right" vertical="center"/>
    </xf>
    <xf numFmtId="164" fontId="4" fillId="6" borderId="48" xfId="0" applyNumberFormat="1" applyFont="1" applyFill="1" applyBorder="1" applyAlignment="1" applyProtection="1">
      <alignment horizontal="center"/>
      <protection locked="0"/>
    </xf>
    <xf numFmtId="0" fontId="16" fillId="0" borderId="24" xfId="0" applyFont="1" applyBorder="1" applyAlignment="1">
      <alignment horizontal="center" vertical="center"/>
    </xf>
    <xf numFmtId="1" fontId="4" fillId="0" borderId="46" xfId="0" applyNumberFormat="1" applyFont="1" applyBorder="1" applyAlignment="1">
      <alignment horizontal="center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16" fillId="12" borderId="24" xfId="0" applyFont="1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0" fontId="34" fillId="0" borderId="0" xfId="0" applyFont="1"/>
    <xf numFmtId="0" fontId="37" fillId="4" borderId="0" xfId="0" applyFont="1" applyFill="1" applyAlignment="1">
      <alignment horizontal="center" vertical="center" wrapText="1"/>
    </xf>
    <xf numFmtId="0" fontId="5" fillId="0" borderId="15" xfId="0" applyFont="1" applyBorder="1" applyAlignment="1">
      <alignment horizontal="center"/>
    </xf>
    <xf numFmtId="1" fontId="4" fillId="11" borderId="22" xfId="0" applyNumberFormat="1" applyFont="1" applyFill="1" applyBorder="1" applyAlignment="1" applyProtection="1">
      <alignment horizontal="center"/>
      <protection hidden="1"/>
    </xf>
    <xf numFmtId="1" fontId="4" fillId="11" borderId="18" xfId="0" applyNumberFormat="1" applyFont="1" applyFill="1" applyBorder="1" applyAlignment="1" applyProtection="1">
      <alignment horizontal="center"/>
      <protection hidden="1"/>
    </xf>
    <xf numFmtId="1" fontId="4" fillId="9" borderId="9" xfId="0" applyNumberFormat="1" applyFont="1" applyFill="1" applyBorder="1" applyAlignment="1">
      <alignment horizontal="center"/>
    </xf>
    <xf numFmtId="1" fontId="4" fillId="9" borderId="14" xfId="0" applyNumberFormat="1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167" fontId="1" fillId="0" borderId="24" xfId="0" applyNumberFormat="1" applyFont="1" applyBorder="1" applyAlignment="1">
      <alignment horizontal="center"/>
    </xf>
    <xf numFmtId="167" fontId="4" fillId="9" borderId="4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/>
    </xf>
    <xf numFmtId="0" fontId="75" fillId="0" borderId="0" xfId="0" applyFont="1" applyAlignment="1">
      <alignment horizontal="left" vertical="center"/>
    </xf>
    <xf numFmtId="164" fontId="1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88" fillId="4" borderId="24" xfId="0" applyFont="1" applyFill="1" applyBorder="1" applyAlignment="1">
      <alignment horizontal="center" vertical="center" wrapText="1"/>
    </xf>
    <xf numFmtId="164" fontId="79" fillId="0" borderId="0" xfId="0" applyNumberFormat="1" applyFont="1" applyAlignment="1">
      <alignment horizontal="left" vertical="center"/>
    </xf>
    <xf numFmtId="0" fontId="34" fillId="0" borderId="24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89" fillId="0" borderId="24" xfId="0" applyFont="1" applyBorder="1" applyAlignment="1">
      <alignment horizontal="center" vertical="center"/>
    </xf>
    <xf numFmtId="0" fontId="89" fillId="0" borderId="24" xfId="0" applyFont="1" applyBorder="1" applyAlignment="1">
      <alignment vertical="center"/>
    </xf>
    <xf numFmtId="0" fontId="89" fillId="0" borderId="24" xfId="0" applyFont="1" applyBorder="1"/>
    <xf numFmtId="0" fontId="89" fillId="0" borderId="63" xfId="0" applyFont="1" applyBorder="1" applyAlignment="1">
      <alignment horizontal="center" vertical="center"/>
    </xf>
    <xf numFmtId="0" fontId="89" fillId="0" borderId="23" xfId="0" applyFont="1" applyBorder="1" applyAlignment="1">
      <alignment horizontal="center" vertical="center"/>
    </xf>
    <xf numFmtId="1" fontId="89" fillId="0" borderId="24" xfId="0" applyNumberFormat="1" applyFont="1" applyBorder="1" applyAlignment="1">
      <alignment horizontal="center" vertical="center"/>
    </xf>
    <xf numFmtId="167" fontId="89" fillId="0" borderId="24" xfId="0" applyNumberFormat="1" applyFont="1" applyBorder="1" applyAlignment="1">
      <alignment horizontal="center" vertical="center"/>
    </xf>
    <xf numFmtId="0" fontId="90" fillId="0" borderId="0" xfId="4"/>
    <xf numFmtId="180" fontId="98" fillId="0" borderId="0" xfId="6"/>
    <xf numFmtId="180" fontId="99" fillId="0" borderId="97" xfId="6" applyFont="1" applyBorder="1" applyAlignment="1">
      <alignment horizontal="center" vertical="center"/>
    </xf>
    <xf numFmtId="180" fontId="99" fillId="17" borderId="98" xfId="6" applyFont="1" applyFill="1" applyBorder="1" applyAlignment="1">
      <alignment horizontal="center" vertical="center"/>
    </xf>
    <xf numFmtId="180" fontId="98" fillId="0" borderId="98" xfId="6" applyBorder="1" applyAlignment="1">
      <alignment horizontal="center" vertical="center"/>
    </xf>
    <xf numFmtId="180" fontId="99" fillId="17" borderId="89" xfId="6" applyFont="1" applyFill="1" applyBorder="1" applyAlignment="1">
      <alignment horizontal="center" vertical="center"/>
    </xf>
    <xf numFmtId="180" fontId="98" fillId="0" borderId="89" xfId="6" applyBorder="1" applyAlignment="1">
      <alignment horizontal="center" vertical="center"/>
    </xf>
    <xf numFmtId="1" fontId="4" fillId="11" borderId="24" xfId="0" applyNumberFormat="1" applyFont="1" applyFill="1" applyBorder="1" applyAlignment="1">
      <alignment horizontal="center"/>
    </xf>
    <xf numFmtId="180" fontId="92" fillId="0" borderId="0" xfId="5" applyFont="1" applyProtection="1">
      <protection locked="0"/>
    </xf>
    <xf numFmtId="180" fontId="97" fillId="0" borderId="0" xfId="5" applyFont="1" applyAlignment="1" applyProtection="1">
      <alignment horizontal="center"/>
      <protection locked="0"/>
    </xf>
    <xf numFmtId="180" fontId="96" fillId="0" borderId="0" xfId="5" applyFont="1" applyProtection="1">
      <protection locked="0"/>
    </xf>
    <xf numFmtId="180" fontId="91" fillId="0" borderId="0" xfId="5" applyProtection="1">
      <protection locked="0"/>
    </xf>
    <xf numFmtId="0" fontId="90" fillId="0" borderId="0" xfId="4" applyProtection="1">
      <protection locked="0"/>
    </xf>
    <xf numFmtId="180" fontId="94" fillId="0" borderId="0" xfId="5" applyFont="1" applyProtection="1">
      <protection locked="0"/>
    </xf>
    <xf numFmtId="180" fontId="92" fillId="0" borderId="0" xfId="5" applyFont="1" applyAlignment="1" applyProtection="1">
      <alignment vertical="center"/>
      <protection locked="0"/>
    </xf>
    <xf numFmtId="180" fontId="94" fillId="0" borderId="0" xfId="5" applyFont="1" applyAlignment="1" applyProtection="1">
      <alignment vertical="center"/>
      <protection locked="0"/>
    </xf>
    <xf numFmtId="180" fontId="94" fillId="0" borderId="92" xfId="5" applyFont="1" applyBorder="1" applyProtection="1">
      <protection locked="0"/>
    </xf>
    <xf numFmtId="180" fontId="94" fillId="0" borderId="91" xfId="5" applyFont="1" applyBorder="1" applyProtection="1">
      <protection locked="0"/>
    </xf>
    <xf numFmtId="180" fontId="94" fillId="0" borderId="88" xfId="5" applyFont="1" applyBorder="1" applyProtection="1">
      <protection locked="0"/>
    </xf>
    <xf numFmtId="180" fontId="94" fillId="0" borderId="88" xfId="5" applyFont="1" applyBorder="1" applyAlignment="1" applyProtection="1">
      <alignment horizontal="center"/>
      <protection locked="0"/>
    </xf>
    <xf numFmtId="180" fontId="94" fillId="0" borderId="90" xfId="5" applyFont="1" applyBorder="1" applyProtection="1">
      <protection locked="0"/>
    </xf>
    <xf numFmtId="180" fontId="94" fillId="0" borderId="0" xfId="5" applyFont="1" applyAlignment="1" applyProtection="1">
      <alignment horizontal="center" vertical="center"/>
      <protection locked="0"/>
    </xf>
    <xf numFmtId="180" fontId="94" fillId="0" borderId="0" xfId="5" applyFont="1" applyAlignment="1" applyProtection="1">
      <alignment horizontal="center"/>
      <protection locked="0"/>
    </xf>
    <xf numFmtId="180" fontId="93" fillId="0" borderId="0" xfId="5" applyFont="1" applyProtection="1">
      <protection locked="0"/>
    </xf>
    <xf numFmtId="180" fontId="93" fillId="0" borderId="0" xfId="5" applyFont="1" applyAlignment="1" applyProtection="1">
      <alignment vertical="center" wrapText="1"/>
      <protection locked="0"/>
    </xf>
    <xf numFmtId="180" fontId="94" fillId="0" borderId="0" xfId="5" applyFont="1" applyAlignment="1" applyProtection="1">
      <alignment vertical="center"/>
    </xf>
    <xf numFmtId="180" fontId="93" fillId="0" borderId="89" xfId="5" applyFont="1" applyBorder="1" applyAlignment="1" applyProtection="1">
      <alignment horizontal="center"/>
    </xf>
    <xf numFmtId="0" fontId="90" fillId="16" borderId="89" xfId="4" applyFill="1" applyBorder="1" applyProtection="1">
      <protection locked="0"/>
    </xf>
    <xf numFmtId="0" fontId="90" fillId="15" borderId="89" xfId="4" applyFill="1" applyBorder="1" applyProtection="1">
      <protection locked="0"/>
    </xf>
    <xf numFmtId="180" fontId="92" fillId="0" borderId="89" xfId="5" applyFont="1" applyBorder="1" applyAlignment="1" applyProtection="1">
      <alignment horizontal="center" vertical="center" wrapText="1"/>
    </xf>
    <xf numFmtId="0" fontId="90" fillId="0" borderId="89" xfId="4" applyBorder="1" applyProtection="1">
      <protection locked="0"/>
    </xf>
    <xf numFmtId="180" fontId="92" fillId="0" borderId="0" xfId="5" applyFont="1" applyAlignment="1" applyProtection="1">
      <alignment horizontal="center"/>
    </xf>
    <xf numFmtId="0" fontId="90" fillId="0" borderId="88" xfId="4" applyBorder="1" applyProtection="1">
      <protection locked="0"/>
    </xf>
    <xf numFmtId="180" fontId="93" fillId="0" borderId="0" xfId="5" applyFont="1" applyAlignment="1" applyProtection="1">
      <alignment horizontal="center"/>
      <protection locked="0"/>
    </xf>
    <xf numFmtId="180" fontId="94" fillId="0" borderId="89" xfId="5" applyFont="1" applyBorder="1" applyAlignment="1" applyProtection="1">
      <alignment horizontal="center" vertical="center"/>
    </xf>
    <xf numFmtId="180" fontId="93" fillId="0" borderId="89" xfId="5" applyFont="1" applyBorder="1" applyAlignment="1" applyProtection="1">
      <alignment horizontal="center" vertical="center"/>
    </xf>
    <xf numFmtId="180" fontId="94" fillId="0" borderId="92" xfId="5" applyFont="1" applyBorder="1" applyAlignment="1" applyProtection="1">
      <alignment horizontal="center"/>
      <protection locked="0"/>
    </xf>
    <xf numFmtId="180" fontId="94" fillId="0" borderId="88" xfId="5" applyFont="1" applyBorder="1" applyAlignment="1" applyProtection="1">
      <alignment horizontal="center"/>
      <protection locked="0"/>
    </xf>
    <xf numFmtId="180" fontId="97" fillId="0" borderId="0" xfId="5" applyFont="1" applyAlignment="1" applyProtection="1">
      <alignment horizontal="center"/>
      <protection locked="0"/>
    </xf>
    <xf numFmtId="181" fontId="90" fillId="0" borderId="89" xfId="4" applyNumberFormat="1" applyBorder="1" applyProtection="1">
      <protection locked="0"/>
    </xf>
    <xf numFmtId="177" fontId="90" fillId="0" borderId="89" xfId="4" applyNumberFormat="1" applyBorder="1" applyProtection="1">
      <protection locked="0"/>
    </xf>
    <xf numFmtId="166" fontId="0" fillId="0" borderId="0" xfId="0" applyNumberFormat="1" applyAlignment="1">
      <alignment horizontal="center" vertical="center"/>
    </xf>
    <xf numFmtId="169" fontId="4" fillId="3" borderId="69" xfId="0" applyNumberFormat="1" applyFont="1" applyFill="1" applyBorder="1" applyAlignment="1" applyProtection="1">
      <alignment horizontal="left"/>
      <protection locked="0"/>
    </xf>
    <xf numFmtId="169" fontId="4" fillId="3" borderId="70" xfId="0" applyNumberFormat="1" applyFont="1" applyFill="1" applyBorder="1" applyAlignment="1" applyProtection="1">
      <alignment horizontal="left"/>
      <protection locked="0"/>
    </xf>
    <xf numFmtId="169" fontId="4" fillId="3" borderId="71" xfId="0" applyNumberFormat="1" applyFont="1" applyFill="1" applyBorder="1" applyAlignment="1" applyProtection="1">
      <alignment horizontal="left"/>
      <protection locked="0"/>
    </xf>
    <xf numFmtId="169" fontId="4" fillId="3" borderId="69" xfId="0" applyNumberFormat="1" applyFont="1" applyFill="1" applyBorder="1" applyAlignment="1" applyProtection="1">
      <alignment horizontal="center"/>
      <protection locked="0"/>
    </xf>
    <xf numFmtId="169" fontId="4" fillId="3" borderId="70" xfId="0" applyNumberFormat="1" applyFont="1" applyFill="1" applyBorder="1" applyAlignment="1" applyProtection="1">
      <alignment horizontal="center"/>
      <protection locked="0"/>
    </xf>
    <xf numFmtId="169" fontId="4" fillId="3" borderId="71" xfId="0" applyNumberFormat="1" applyFont="1" applyFill="1" applyBorder="1" applyAlignment="1" applyProtection="1">
      <alignment horizontal="center"/>
      <protection locked="0"/>
    </xf>
    <xf numFmtId="169" fontId="4" fillId="3" borderId="72" xfId="0" applyNumberFormat="1" applyFont="1" applyFill="1" applyBorder="1" applyAlignment="1" applyProtection="1">
      <alignment horizontal="center"/>
      <protection locked="0"/>
    </xf>
    <xf numFmtId="169" fontId="4" fillId="3" borderId="73" xfId="0" applyNumberFormat="1" applyFont="1" applyFill="1" applyBorder="1" applyAlignment="1" applyProtection="1">
      <alignment horizontal="center"/>
      <protection locked="0"/>
    </xf>
    <xf numFmtId="169" fontId="4" fillId="3" borderId="74" xfId="0" applyNumberFormat="1" applyFont="1" applyFill="1" applyBorder="1" applyAlignment="1" applyProtection="1">
      <alignment horizontal="center"/>
      <protection locked="0"/>
    </xf>
    <xf numFmtId="165" fontId="4" fillId="7" borderId="25" xfId="0" applyNumberFormat="1" applyFont="1" applyFill="1" applyBorder="1" applyAlignment="1">
      <alignment horizontal="center"/>
    </xf>
    <xf numFmtId="165" fontId="4" fillId="7" borderId="39" xfId="0" applyNumberFormat="1" applyFont="1" applyFill="1" applyBorder="1" applyAlignment="1">
      <alignment horizontal="center"/>
    </xf>
    <xf numFmtId="169" fontId="4" fillId="3" borderId="75" xfId="0" applyNumberFormat="1" applyFont="1" applyFill="1" applyBorder="1" applyAlignment="1" applyProtection="1">
      <alignment horizontal="left"/>
      <protection locked="0"/>
    </xf>
    <xf numFmtId="169" fontId="4" fillId="3" borderId="76" xfId="0" applyNumberFormat="1" applyFont="1" applyFill="1" applyBorder="1" applyAlignment="1" applyProtection="1">
      <alignment horizontal="left"/>
      <protection locked="0"/>
    </xf>
    <xf numFmtId="169" fontId="4" fillId="3" borderId="77" xfId="0" applyNumberFormat="1" applyFont="1" applyFill="1" applyBorder="1" applyAlignment="1" applyProtection="1">
      <alignment horizontal="left"/>
      <protection locked="0"/>
    </xf>
    <xf numFmtId="0" fontId="16" fillId="4" borderId="9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165" fontId="4" fillId="9" borderId="25" xfId="0" applyNumberFormat="1" applyFont="1" applyFill="1" applyBorder="1" applyAlignment="1">
      <alignment horizontal="center"/>
    </xf>
    <xf numFmtId="165" fontId="4" fillId="9" borderId="39" xfId="0" applyNumberFormat="1" applyFont="1" applyFill="1" applyBorder="1" applyAlignment="1">
      <alignment horizontal="center"/>
    </xf>
    <xf numFmtId="0" fontId="16" fillId="8" borderId="78" xfId="0" applyFont="1" applyFill="1" applyBorder="1" applyAlignment="1">
      <alignment horizontal="center" vertical="center" wrapText="1"/>
    </xf>
    <xf numFmtId="0" fontId="16" fillId="8" borderId="79" xfId="0" applyFont="1" applyFill="1" applyBorder="1" applyAlignment="1">
      <alignment horizontal="center" vertical="center" wrapText="1"/>
    </xf>
    <xf numFmtId="0" fontId="16" fillId="8" borderId="80" xfId="0" applyFont="1" applyFill="1" applyBorder="1" applyAlignment="1">
      <alignment horizontal="center" vertical="center" wrapText="1"/>
    </xf>
    <xf numFmtId="0" fontId="27" fillId="8" borderId="82" xfId="0" applyFont="1" applyFill="1" applyBorder="1" applyAlignment="1">
      <alignment horizontal="center" vertical="center"/>
    </xf>
    <xf numFmtId="0" fontId="27" fillId="8" borderId="79" xfId="0" applyFont="1" applyFill="1" applyBorder="1" applyAlignment="1">
      <alignment horizontal="center" vertical="center"/>
    </xf>
    <xf numFmtId="0" fontId="27" fillId="8" borderId="80" xfId="0" applyFont="1" applyFill="1" applyBorder="1" applyAlignment="1">
      <alignment horizontal="center" vertical="center"/>
    </xf>
    <xf numFmtId="0" fontId="4" fillId="5" borderId="41" xfId="0" applyFont="1" applyFill="1" applyBorder="1" applyAlignment="1" applyProtection="1">
      <alignment horizontal="center"/>
      <protection hidden="1"/>
    </xf>
    <xf numFmtId="0" fontId="4" fillId="5" borderId="51" xfId="0" applyFont="1" applyFill="1" applyBorder="1" applyAlignment="1" applyProtection="1">
      <alignment horizontal="center"/>
      <protection hidden="1"/>
    </xf>
    <xf numFmtId="0" fontId="6" fillId="0" borderId="9" xfId="0" applyFont="1" applyBorder="1" applyAlignment="1">
      <alignment horizontal="center" vertical="center" wrapText="1" shrinkToFit="1"/>
    </xf>
    <xf numFmtId="0" fontId="16" fillId="0" borderId="50" xfId="0" applyFont="1" applyBorder="1" applyAlignment="1">
      <alignment horizontal="center" vertical="center" wrapText="1" shrinkToFit="1"/>
    </xf>
    <xf numFmtId="0" fontId="5" fillId="5" borderId="31" xfId="0" applyFont="1" applyFill="1" applyBorder="1" applyAlignment="1" applyProtection="1">
      <alignment horizontal="center" vertical="center" wrapText="1"/>
      <protection hidden="1"/>
    </xf>
    <xf numFmtId="0" fontId="5" fillId="5" borderId="7" xfId="0" applyFont="1" applyFill="1" applyBorder="1" applyAlignment="1" applyProtection="1">
      <alignment horizontal="center" vertical="center" wrapText="1"/>
      <protection hidden="1"/>
    </xf>
    <xf numFmtId="0" fontId="16" fillId="6" borderId="30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6" fillId="6" borderId="46" xfId="0" applyFont="1" applyFill="1" applyBorder="1" applyAlignment="1">
      <alignment horizontal="center"/>
    </xf>
    <xf numFmtId="0" fontId="6" fillId="6" borderId="51" xfId="0" applyFont="1" applyFill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6" fillId="6" borderId="30" xfId="0" applyFont="1" applyFill="1" applyBorder="1" applyAlignment="1">
      <alignment horizontal="center" vertical="center" wrapText="1"/>
    </xf>
    <xf numFmtId="0" fontId="16" fillId="6" borderId="31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4" fillId="6" borderId="82" xfId="0" applyFont="1" applyFill="1" applyBorder="1" applyAlignment="1" applyProtection="1">
      <alignment horizontal="right"/>
      <protection hidden="1"/>
    </xf>
    <xf numFmtId="0" fontId="4" fillId="6" borderId="80" xfId="0" applyFont="1" applyFill="1" applyBorder="1" applyAlignment="1" applyProtection="1">
      <alignment horizontal="right"/>
      <protection hidden="1"/>
    </xf>
    <xf numFmtId="0" fontId="24" fillId="0" borderId="46" xfId="0" applyFont="1" applyBorder="1" applyAlignment="1" applyProtection="1">
      <alignment horizontal="center" vertical="center" wrapText="1" shrinkToFit="1"/>
      <protection locked="0"/>
    </xf>
    <xf numFmtId="0" fontId="24" fillId="0" borderId="51" xfId="0" applyFont="1" applyBorder="1" applyAlignment="1" applyProtection="1">
      <alignment horizontal="center" vertical="center" wrapText="1" shrinkToFit="1"/>
      <protection locked="0"/>
    </xf>
    <xf numFmtId="0" fontId="24" fillId="0" borderId="14" xfId="0" applyFont="1" applyBorder="1" applyAlignment="1" applyProtection="1">
      <alignment horizontal="center" vertical="center" wrapText="1" shrinkToFit="1"/>
      <protection locked="0"/>
    </xf>
    <xf numFmtId="0" fontId="16" fillId="0" borderId="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7" fontId="4" fillId="5" borderId="37" xfId="0" applyNumberFormat="1" applyFont="1" applyFill="1" applyBorder="1" applyAlignment="1" applyProtection="1">
      <alignment horizontal="center"/>
      <protection hidden="1"/>
    </xf>
    <xf numFmtId="177" fontId="4" fillId="5" borderId="27" xfId="0" applyNumberFormat="1" applyFont="1" applyFill="1" applyBorder="1" applyAlignment="1" applyProtection="1">
      <alignment horizontal="center"/>
      <protection hidden="1"/>
    </xf>
    <xf numFmtId="174" fontId="4" fillId="7" borderId="5" xfId="0" applyNumberFormat="1" applyFont="1" applyFill="1" applyBorder="1" applyAlignment="1" applyProtection="1">
      <alignment horizontal="center"/>
      <protection locked="0"/>
    </xf>
    <xf numFmtId="174" fontId="4" fillId="7" borderId="10" xfId="0" applyNumberFormat="1" applyFont="1" applyFill="1" applyBorder="1" applyAlignment="1" applyProtection="1">
      <alignment horizontal="center"/>
      <protection locked="0"/>
    </xf>
    <xf numFmtId="174" fontId="4" fillId="9" borderId="4" xfId="0" applyNumberFormat="1" applyFont="1" applyFill="1" applyBorder="1" applyAlignment="1" applyProtection="1">
      <alignment horizontal="center"/>
      <protection locked="0"/>
    </xf>
    <xf numFmtId="174" fontId="4" fillId="9" borderId="41" xfId="0" applyNumberFormat="1" applyFont="1" applyFill="1" applyBorder="1" applyAlignment="1" applyProtection="1">
      <alignment horizontal="center"/>
      <protection locked="0"/>
    </xf>
    <xf numFmtId="174" fontId="4" fillId="9" borderId="5" xfId="0" applyNumberFormat="1" applyFont="1" applyFill="1" applyBorder="1" applyAlignment="1" applyProtection="1">
      <alignment horizontal="center"/>
      <protection locked="0"/>
    </xf>
    <xf numFmtId="174" fontId="4" fillId="9" borderId="10" xfId="0" applyNumberFormat="1" applyFont="1" applyFill="1" applyBorder="1" applyAlignment="1" applyProtection="1">
      <alignment horizontal="center"/>
      <protection locked="0"/>
    </xf>
    <xf numFmtId="0" fontId="26" fillId="6" borderId="46" xfId="0" applyFont="1" applyFill="1" applyBorder="1" applyAlignment="1">
      <alignment horizontal="center" vertical="center" wrapText="1"/>
    </xf>
    <xf numFmtId="0" fontId="26" fillId="6" borderId="51" xfId="0" applyFont="1" applyFill="1" applyBorder="1" applyAlignment="1">
      <alignment horizontal="center" vertical="center" wrapText="1"/>
    </xf>
    <xf numFmtId="0" fontId="26" fillId="6" borderId="14" xfId="0" applyFont="1" applyFill="1" applyBorder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49" fontId="2" fillId="13" borderId="83" xfId="0" applyNumberFormat="1" applyFont="1" applyFill="1" applyBorder="1" applyAlignment="1" applyProtection="1">
      <alignment horizontal="center"/>
      <protection locked="0"/>
    </xf>
    <xf numFmtId="49" fontId="2" fillId="13" borderId="15" xfId="0" applyNumberFormat="1" applyFont="1" applyFill="1" applyBorder="1" applyAlignment="1" applyProtection="1">
      <alignment horizontal="center"/>
      <protection locked="0"/>
    </xf>
    <xf numFmtId="2" fontId="2" fillId="5" borderId="26" xfId="0" applyNumberFormat="1" applyFont="1" applyFill="1" applyBorder="1" applyAlignment="1" applyProtection="1">
      <alignment horizontal="center"/>
      <protection locked="0"/>
    </xf>
    <xf numFmtId="2" fontId="2" fillId="5" borderId="10" xfId="0" applyNumberFormat="1" applyFont="1" applyFill="1" applyBorder="1" applyAlignment="1" applyProtection="1">
      <alignment horizontal="center"/>
      <protection locked="0"/>
    </xf>
    <xf numFmtId="2" fontId="2" fillId="5" borderId="19" xfId="0" applyNumberFormat="1" applyFont="1" applyFill="1" applyBorder="1" applyAlignment="1" applyProtection="1">
      <alignment horizontal="center"/>
      <protection locked="0"/>
    </xf>
    <xf numFmtId="177" fontId="4" fillId="5" borderId="81" xfId="0" applyNumberFormat="1" applyFont="1" applyFill="1" applyBorder="1" applyAlignment="1" applyProtection="1">
      <alignment horizontal="center"/>
      <protection hidden="1"/>
    </xf>
    <xf numFmtId="177" fontId="4" fillId="5" borderId="7" xfId="0" applyNumberFormat="1" applyFont="1" applyFill="1" applyBorder="1" applyAlignment="1" applyProtection="1">
      <alignment horizontal="center"/>
      <protection hidden="1"/>
    </xf>
    <xf numFmtId="177" fontId="4" fillId="5" borderId="39" xfId="0" applyNumberFormat="1" applyFont="1" applyFill="1" applyBorder="1" applyAlignment="1" applyProtection="1">
      <alignment horizontal="center"/>
      <protection hidden="1"/>
    </xf>
    <xf numFmtId="177" fontId="4" fillId="5" borderId="40" xfId="0" applyNumberFormat="1" applyFont="1" applyFill="1" applyBorder="1" applyAlignment="1" applyProtection="1">
      <alignment horizontal="center"/>
      <protection hidden="1"/>
    </xf>
    <xf numFmtId="177" fontId="4" fillId="5" borderId="16" xfId="0" applyNumberFormat="1" applyFont="1" applyFill="1" applyBorder="1" applyAlignment="1" applyProtection="1">
      <alignment horizontal="center"/>
      <protection hidden="1"/>
    </xf>
    <xf numFmtId="177" fontId="4" fillId="5" borderId="33" xfId="0" applyNumberFormat="1" applyFont="1" applyFill="1" applyBorder="1" applyAlignment="1" applyProtection="1">
      <alignment horizontal="center"/>
      <protection hidden="1"/>
    </xf>
    <xf numFmtId="0" fontId="5" fillId="6" borderId="46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49" fontId="2" fillId="0" borderId="0" xfId="0" applyNumberFormat="1" applyFont="1" applyAlignment="1" applyProtection="1">
      <alignment horizontal="center"/>
      <protection locked="0"/>
    </xf>
    <xf numFmtId="0" fontId="13" fillId="4" borderId="30" xfId="0" applyFont="1" applyFill="1" applyBorder="1" applyAlignment="1">
      <alignment horizontal="center" vertical="center" wrapText="1"/>
    </xf>
    <xf numFmtId="0" fontId="13" fillId="4" borderId="31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0" borderId="30" xfId="0" applyFont="1" applyBorder="1" applyAlignment="1" applyProtection="1">
      <alignment horizontal="center"/>
      <protection hidden="1"/>
    </xf>
    <xf numFmtId="0" fontId="5" fillId="0" borderId="31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16" fillId="0" borderId="3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4" fillId="0" borderId="0" xfId="0" applyFont="1" applyAlignment="1" applyProtection="1">
      <alignment horizontal="center"/>
      <protection locked="0"/>
    </xf>
    <xf numFmtId="0" fontId="24" fillId="5" borderId="30" xfId="0" applyFont="1" applyFill="1" applyBorder="1" applyAlignment="1" applyProtection="1">
      <alignment horizontal="center" vertical="center" wrapText="1" shrinkToFit="1"/>
      <protection locked="0"/>
    </xf>
    <xf numFmtId="0" fontId="24" fillId="5" borderId="31" xfId="0" applyFont="1" applyFill="1" applyBorder="1" applyAlignment="1" applyProtection="1">
      <alignment horizontal="center" vertical="center" wrapText="1" shrinkToFit="1"/>
      <protection locked="0"/>
    </xf>
    <xf numFmtId="0" fontId="24" fillId="5" borderId="7" xfId="0" applyFont="1" applyFill="1" applyBorder="1" applyAlignment="1" applyProtection="1">
      <alignment horizontal="center" vertical="center" wrapText="1" shrinkToFit="1"/>
      <protection locked="0"/>
    </xf>
    <xf numFmtId="2" fontId="2" fillId="5" borderId="25" xfId="0" applyNumberFormat="1" applyFont="1" applyFill="1" applyBorder="1" applyAlignment="1" applyProtection="1">
      <alignment horizontal="center"/>
      <protection locked="0"/>
    </xf>
    <xf numFmtId="2" fontId="2" fillId="5" borderId="41" xfId="0" applyNumberFormat="1" applyFont="1" applyFill="1" applyBorder="1" applyAlignment="1" applyProtection="1">
      <alignment horizontal="center"/>
      <protection locked="0"/>
    </xf>
    <xf numFmtId="2" fontId="2" fillId="5" borderId="48" xfId="0" applyNumberFormat="1" applyFont="1" applyFill="1" applyBorder="1" applyAlignment="1" applyProtection="1">
      <alignment horizontal="center"/>
      <protection locked="0"/>
    </xf>
    <xf numFmtId="0" fontId="6" fillId="0" borderId="46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2" fillId="4" borderId="0" xfId="0" applyFont="1" applyFill="1" applyAlignment="1">
      <alignment horizontal="center" vertical="center" wrapText="1"/>
    </xf>
    <xf numFmtId="0" fontId="2" fillId="6" borderId="11" xfId="0" applyFont="1" applyFill="1" applyBorder="1" applyAlignment="1" applyProtection="1">
      <alignment horizontal="center"/>
      <protection locked="0"/>
    </xf>
    <xf numFmtId="0" fontId="2" fillId="6" borderId="12" xfId="0" applyFont="1" applyFill="1" applyBorder="1" applyAlignment="1" applyProtection="1">
      <alignment horizontal="center"/>
      <protection locked="0"/>
    </xf>
    <xf numFmtId="0" fontId="2" fillId="6" borderId="13" xfId="0" applyFont="1" applyFill="1" applyBorder="1" applyAlignment="1" applyProtection="1">
      <alignment horizontal="center"/>
      <protection locked="0"/>
    </xf>
    <xf numFmtId="2" fontId="2" fillId="5" borderId="38" xfId="0" applyNumberFormat="1" applyFont="1" applyFill="1" applyBorder="1" applyAlignment="1" applyProtection="1">
      <alignment horizontal="center"/>
      <protection locked="0"/>
    </xf>
    <xf numFmtId="2" fontId="2" fillId="5" borderId="42" xfId="0" applyNumberFormat="1" applyFont="1" applyFill="1" applyBorder="1" applyAlignment="1" applyProtection="1">
      <alignment horizontal="center"/>
      <protection locked="0"/>
    </xf>
    <xf numFmtId="2" fontId="2" fillId="5" borderId="21" xfId="0" applyNumberFormat="1" applyFont="1" applyFill="1" applyBorder="1" applyAlignment="1" applyProtection="1">
      <alignment horizontal="center"/>
      <protection locked="0"/>
    </xf>
    <xf numFmtId="164" fontId="45" fillId="0" borderId="0" xfId="0" applyNumberFormat="1" applyFont="1" applyAlignment="1" applyProtection="1">
      <alignment horizontal="center"/>
      <protection locked="0"/>
    </xf>
    <xf numFmtId="0" fontId="5" fillId="0" borderId="4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5" fillId="6" borderId="9" xfId="0" applyNumberFormat="1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 applyProtection="1">
      <alignment horizontal="center" vertical="center" wrapText="1"/>
      <protection hidden="1"/>
    </xf>
    <xf numFmtId="0" fontId="5" fillId="6" borderId="15" xfId="0" applyFont="1" applyFill="1" applyBorder="1" applyAlignment="1" applyProtection="1">
      <alignment horizontal="center" vertical="center" wrapText="1"/>
      <protection hidden="1"/>
    </xf>
    <xf numFmtId="0" fontId="18" fillId="4" borderId="34" xfId="0" applyFont="1" applyFill="1" applyBorder="1" applyAlignment="1">
      <alignment horizontal="left" vertical="top" wrapText="1"/>
    </xf>
    <xf numFmtId="0" fontId="18" fillId="4" borderId="35" xfId="0" applyFont="1" applyFill="1" applyBorder="1" applyAlignment="1">
      <alignment horizontal="left" vertical="top" wrapText="1"/>
    </xf>
    <xf numFmtId="0" fontId="18" fillId="4" borderId="36" xfId="0" applyFont="1" applyFill="1" applyBorder="1" applyAlignment="1">
      <alignment horizontal="left" vertical="top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1" fontId="5" fillId="6" borderId="46" xfId="0" applyNumberFormat="1" applyFont="1" applyFill="1" applyBorder="1" applyAlignment="1" applyProtection="1">
      <alignment horizontal="center" vertical="center" wrapText="1"/>
      <protection locked="0"/>
    </xf>
    <xf numFmtId="1" fontId="5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174" fontId="4" fillId="5" borderId="4" xfId="0" applyNumberFormat="1" applyFont="1" applyFill="1" applyBorder="1" applyAlignment="1" applyProtection="1">
      <alignment horizontal="center"/>
      <protection locked="0"/>
    </xf>
    <xf numFmtId="174" fontId="4" fillId="5" borderId="41" xfId="0" applyNumberFormat="1" applyFont="1" applyFill="1" applyBorder="1" applyAlignment="1" applyProtection="1">
      <alignment horizontal="center"/>
      <protection locked="0"/>
    </xf>
    <xf numFmtId="0" fontId="11" fillId="7" borderId="30" xfId="0" applyFont="1" applyFill="1" applyBorder="1" applyAlignment="1">
      <alignment horizontal="center" vertical="center"/>
    </xf>
    <xf numFmtId="0" fontId="11" fillId="7" borderId="31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4" fillId="7" borderId="46" xfId="0" applyFont="1" applyFill="1" applyBorder="1" applyAlignment="1">
      <alignment horizontal="center"/>
    </xf>
    <xf numFmtId="0" fontId="4" fillId="7" borderId="51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165" fontId="4" fillId="6" borderId="25" xfId="0" applyNumberFormat="1" applyFont="1" applyFill="1" applyBorder="1" applyAlignment="1">
      <alignment horizontal="center"/>
    </xf>
    <xf numFmtId="165" fontId="4" fillId="6" borderId="48" xfId="0" applyNumberFormat="1" applyFont="1" applyFill="1" applyBorder="1" applyAlignment="1">
      <alignment horizontal="center"/>
    </xf>
    <xf numFmtId="0" fontId="5" fillId="6" borderId="51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174" fontId="4" fillId="5" borderId="6" xfId="0" applyNumberFormat="1" applyFont="1" applyFill="1" applyBorder="1" applyAlignment="1" applyProtection="1">
      <alignment horizontal="center"/>
      <protection locked="0"/>
    </xf>
    <xf numFmtId="174" fontId="4" fillId="5" borderId="42" xfId="0" applyNumberFormat="1" applyFont="1" applyFill="1" applyBorder="1" applyAlignment="1" applyProtection="1">
      <alignment horizontal="center"/>
      <protection locked="0"/>
    </xf>
    <xf numFmtId="165" fontId="4" fillId="6" borderId="26" xfId="0" applyNumberFormat="1" applyFont="1" applyFill="1" applyBorder="1" applyAlignment="1">
      <alignment horizontal="center"/>
    </xf>
    <xf numFmtId="165" fontId="4" fillId="6" borderId="19" xfId="0" applyNumberFormat="1" applyFont="1" applyFill="1" applyBorder="1" applyAlignment="1">
      <alignment horizontal="center"/>
    </xf>
    <xf numFmtId="174" fontId="4" fillId="5" borderId="5" xfId="0" applyNumberFormat="1" applyFont="1" applyFill="1" applyBorder="1" applyAlignment="1" applyProtection="1">
      <alignment horizontal="center"/>
      <protection locked="0"/>
    </xf>
    <xf numFmtId="174" fontId="4" fillId="5" borderId="10" xfId="0" applyNumberFormat="1" applyFont="1" applyFill="1" applyBorder="1" applyAlignment="1" applyProtection="1">
      <alignment horizontal="center"/>
      <protection locked="0"/>
    </xf>
    <xf numFmtId="165" fontId="4" fillId="6" borderId="38" xfId="0" applyNumberFormat="1" applyFont="1" applyFill="1" applyBorder="1" applyAlignment="1">
      <alignment horizontal="center"/>
    </xf>
    <xf numFmtId="165" fontId="4" fillId="6" borderId="21" xfId="0" applyNumberFormat="1" applyFont="1" applyFill="1" applyBorder="1" applyAlignment="1">
      <alignment horizontal="center"/>
    </xf>
    <xf numFmtId="0" fontId="4" fillId="6" borderId="24" xfId="0" applyFont="1" applyFill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50" xfId="0" applyFont="1" applyBorder="1" applyAlignment="1" applyProtection="1">
      <alignment horizontal="center" vertical="center"/>
      <protection hidden="1"/>
    </xf>
    <xf numFmtId="166" fontId="4" fillId="14" borderId="4" xfId="0" applyNumberFormat="1" applyFont="1" applyFill="1" applyBorder="1" applyAlignment="1" applyProtection="1">
      <alignment horizontal="center"/>
      <protection hidden="1"/>
    </xf>
    <xf numFmtId="166" fontId="4" fillId="14" borderId="40" xfId="0" applyNumberFormat="1" applyFont="1" applyFill="1" applyBorder="1" applyAlignment="1" applyProtection="1">
      <alignment horizontal="center"/>
      <protection hidden="1"/>
    </xf>
    <xf numFmtId="0" fontId="7" fillId="4" borderId="75" xfId="0" applyFont="1" applyFill="1" applyBorder="1" applyAlignment="1">
      <alignment horizontal="center"/>
    </xf>
    <xf numFmtId="0" fontId="7" fillId="4" borderId="76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0" fontId="5" fillId="0" borderId="1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8" fillId="4" borderId="30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1" fontId="6" fillId="4" borderId="29" xfId="0" applyNumberFormat="1" applyFont="1" applyFill="1" applyBorder="1" applyAlignment="1">
      <alignment horizontal="center" vertical="center"/>
    </xf>
    <xf numFmtId="2" fontId="2" fillId="6" borderId="26" xfId="0" applyNumberFormat="1" applyFont="1" applyFill="1" applyBorder="1" applyAlignment="1" applyProtection="1">
      <alignment horizontal="center"/>
      <protection locked="0"/>
    </xf>
    <xf numFmtId="2" fontId="2" fillId="6" borderId="19" xfId="0" applyNumberFormat="1" applyFont="1" applyFill="1" applyBorder="1" applyAlignment="1" applyProtection="1">
      <alignment horizontal="center"/>
      <protection locked="0"/>
    </xf>
    <xf numFmtId="0" fontId="4" fillId="0" borderId="3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3" fillId="0" borderId="30" xfId="0" applyFont="1" applyBorder="1" applyAlignment="1" applyProtection="1">
      <alignment horizontal="center"/>
      <protection hidden="1"/>
    </xf>
    <xf numFmtId="0" fontId="13" fillId="0" borderId="31" xfId="0" applyFont="1" applyBorder="1" applyAlignment="1" applyProtection="1">
      <alignment horizontal="center"/>
      <protection hidden="1"/>
    </xf>
    <xf numFmtId="0" fontId="13" fillId="0" borderId="7" xfId="0" applyFont="1" applyBorder="1" applyAlignment="1" applyProtection="1">
      <alignment horizontal="center"/>
      <protection hidden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 shrinkToFit="1"/>
    </xf>
    <xf numFmtId="0" fontId="6" fillId="4" borderId="11" xfId="0" applyFont="1" applyFill="1" applyBorder="1" applyAlignment="1">
      <alignment horizontal="center" vertical="center" wrapText="1" shrinkToFit="1"/>
    </xf>
    <xf numFmtId="0" fontId="7" fillId="6" borderId="10" xfId="0" applyFont="1" applyFill="1" applyBorder="1" applyAlignment="1" applyProtection="1">
      <alignment horizontal="center" vertical="center" wrapText="1" shrinkToFit="1"/>
      <protection hidden="1"/>
    </xf>
    <xf numFmtId="0" fontId="7" fillId="6" borderId="33" xfId="0" applyFont="1" applyFill="1" applyBorder="1" applyAlignment="1" applyProtection="1">
      <alignment horizontal="center" vertical="center" wrapText="1" shrinkToFit="1"/>
      <protection hidden="1"/>
    </xf>
    <xf numFmtId="0" fontId="7" fillId="6" borderId="49" xfId="0" applyFont="1" applyFill="1" applyBorder="1" applyAlignment="1" applyProtection="1">
      <alignment horizontal="center" vertical="center" wrapText="1" shrinkToFit="1"/>
      <protection hidden="1"/>
    </xf>
    <xf numFmtId="0" fontId="24" fillId="6" borderId="46" xfId="0" applyFont="1" applyFill="1" applyBorder="1" applyAlignment="1" applyProtection="1">
      <alignment horizontal="center"/>
      <protection locked="0"/>
    </xf>
    <xf numFmtId="0" fontId="24" fillId="6" borderId="14" xfId="0" applyFont="1" applyFill="1" applyBorder="1" applyAlignment="1" applyProtection="1">
      <alignment horizontal="center"/>
      <protection locked="0"/>
    </xf>
    <xf numFmtId="0" fontId="24" fillId="6" borderId="11" xfId="0" applyFont="1" applyFill="1" applyBorder="1" applyAlignment="1" applyProtection="1">
      <alignment horizontal="center"/>
      <protection locked="0"/>
    </xf>
    <xf numFmtId="0" fontId="24" fillId="6" borderId="13" xfId="0" applyFont="1" applyFill="1" applyBorder="1" applyAlignment="1" applyProtection="1">
      <alignment horizontal="center"/>
      <protection locked="0"/>
    </xf>
    <xf numFmtId="49" fontId="2" fillId="6" borderId="41" xfId="0" applyNumberFormat="1" applyFont="1" applyFill="1" applyBorder="1" applyAlignment="1" applyProtection="1">
      <alignment horizontal="center"/>
      <protection locked="0"/>
    </xf>
    <xf numFmtId="49" fontId="2" fillId="6" borderId="40" xfId="0" applyNumberFormat="1" applyFont="1" applyFill="1" applyBorder="1" applyAlignment="1" applyProtection="1">
      <alignment horizontal="center"/>
      <protection locked="0"/>
    </xf>
    <xf numFmtId="2" fontId="2" fillId="6" borderId="38" xfId="0" applyNumberFormat="1" applyFont="1" applyFill="1" applyBorder="1" applyAlignment="1" applyProtection="1">
      <alignment horizontal="center"/>
      <protection locked="0"/>
    </xf>
    <xf numFmtId="2" fontId="2" fillId="6" borderId="21" xfId="0" applyNumberFormat="1" applyFont="1" applyFill="1" applyBorder="1" applyAlignment="1" applyProtection="1">
      <alignment horizontal="center"/>
      <protection locked="0"/>
    </xf>
    <xf numFmtId="49" fontId="2" fillId="6" borderId="55" xfId="0" applyNumberFormat="1" applyFont="1" applyFill="1" applyBorder="1" applyAlignment="1" applyProtection="1">
      <alignment horizontal="center"/>
      <protection locked="0"/>
    </xf>
    <xf numFmtId="49" fontId="2" fillId="6" borderId="87" xfId="0" applyNumberFormat="1" applyFont="1" applyFill="1" applyBorder="1" applyAlignment="1" applyProtection="1">
      <alignment horizontal="center"/>
      <protection locked="0"/>
    </xf>
    <xf numFmtId="2" fontId="2" fillId="6" borderId="25" xfId="0" applyNumberFormat="1" applyFont="1" applyFill="1" applyBorder="1" applyAlignment="1" applyProtection="1">
      <alignment horizontal="center"/>
      <protection locked="0"/>
    </xf>
    <xf numFmtId="2" fontId="2" fillId="6" borderId="48" xfId="0" applyNumberFormat="1" applyFont="1" applyFill="1" applyBorder="1" applyAlignment="1" applyProtection="1">
      <alignment horizontal="center"/>
      <protection locked="0"/>
    </xf>
    <xf numFmtId="1" fontId="9" fillId="4" borderId="9" xfId="0" applyNumberFormat="1" applyFont="1" applyFill="1" applyBorder="1" applyAlignment="1">
      <alignment horizontal="center" vertical="center" wrapText="1" shrinkToFit="1"/>
    </xf>
    <xf numFmtId="1" fontId="9" fillId="4" borderId="15" xfId="0" applyNumberFormat="1" applyFont="1" applyFill="1" applyBorder="1" applyAlignment="1">
      <alignment horizontal="center" vertical="center" wrapText="1" shrinkToFit="1"/>
    </xf>
    <xf numFmtId="1" fontId="6" fillId="4" borderId="84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 shrinkToFit="1"/>
    </xf>
    <xf numFmtId="0" fontId="4" fillId="4" borderId="15" xfId="0" applyFont="1" applyFill="1" applyBorder="1" applyAlignment="1">
      <alignment horizontal="center" vertical="center" wrapText="1" shrinkToFit="1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6" borderId="26" xfId="0" applyFont="1" applyFill="1" applyBorder="1" applyAlignment="1" applyProtection="1">
      <alignment horizontal="right"/>
      <protection hidden="1"/>
    </xf>
    <xf numFmtId="0" fontId="5" fillId="6" borderId="24" xfId="0" applyFont="1" applyFill="1" applyBorder="1" applyAlignment="1" applyProtection="1">
      <alignment horizontal="right"/>
      <protection hidden="1"/>
    </xf>
    <xf numFmtId="0" fontId="5" fillId="0" borderId="46" xfId="0" applyFont="1" applyBorder="1" applyAlignment="1" applyProtection="1">
      <alignment horizontal="center"/>
      <protection hidden="1"/>
    </xf>
    <xf numFmtId="0" fontId="5" fillId="0" borderId="11" xfId="0" applyFont="1" applyBorder="1" applyAlignment="1" applyProtection="1">
      <alignment horizontal="center"/>
      <protection hidden="1"/>
    </xf>
    <xf numFmtId="0" fontId="5" fillId="0" borderId="12" xfId="0" applyFont="1" applyBorder="1" applyAlignment="1" applyProtection="1">
      <alignment horizontal="center"/>
      <protection hidden="1"/>
    </xf>
    <xf numFmtId="0" fontId="5" fillId="0" borderId="13" xfId="0" applyFont="1" applyBorder="1" applyAlignment="1" applyProtection="1">
      <alignment horizontal="center"/>
      <protection hidden="1"/>
    </xf>
    <xf numFmtId="49" fontId="2" fillId="6" borderId="50" xfId="0" applyNumberFormat="1" applyFont="1" applyFill="1" applyBorder="1" applyAlignment="1" applyProtection="1">
      <alignment horizontal="center"/>
      <protection locked="0"/>
    </xf>
    <xf numFmtId="49" fontId="2" fillId="6" borderId="15" xfId="0" applyNumberFormat="1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 vertical="center" wrapText="1" shrinkToFit="1"/>
    </xf>
    <xf numFmtId="0" fontId="16" fillId="6" borderId="50" xfId="0" applyFont="1" applyFill="1" applyBorder="1" applyAlignment="1">
      <alignment horizontal="center" vertical="center" wrapText="1" shrinkToFit="1"/>
    </xf>
    <xf numFmtId="173" fontId="8" fillId="4" borderId="28" xfId="0" applyNumberFormat="1" applyFont="1" applyFill="1" applyBorder="1" applyAlignment="1">
      <alignment horizontal="center" vertical="center" wrapText="1" shrinkToFit="1"/>
    </xf>
    <xf numFmtId="173" fontId="8" fillId="4" borderId="29" xfId="0" applyNumberFormat="1" applyFont="1" applyFill="1" applyBorder="1" applyAlignment="1">
      <alignment horizontal="center" vertical="center" wrapText="1" shrinkToFit="1"/>
    </xf>
    <xf numFmtId="173" fontId="8" fillId="4" borderId="84" xfId="0" applyNumberFormat="1" applyFont="1" applyFill="1" applyBorder="1" applyAlignment="1">
      <alignment horizontal="center" vertical="center" wrapText="1" shrinkToFit="1"/>
    </xf>
    <xf numFmtId="0" fontId="7" fillId="6" borderId="24" xfId="0" applyFont="1" applyFill="1" applyBorder="1" applyAlignment="1" applyProtection="1">
      <alignment horizontal="center" vertical="center" wrapText="1" shrinkToFit="1"/>
      <protection hidden="1"/>
    </xf>
    <xf numFmtId="0" fontId="4" fillId="6" borderId="24" xfId="0" applyFont="1" applyFill="1" applyBorder="1" applyAlignment="1" applyProtection="1">
      <alignment horizontal="right"/>
      <protection hidden="1"/>
    </xf>
    <xf numFmtId="49" fontId="10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5" fillId="6" borderId="30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4" fontId="15" fillId="6" borderId="25" xfId="0" applyNumberFormat="1" applyFont="1" applyFill="1" applyBorder="1" applyAlignment="1" applyProtection="1">
      <alignment horizontal="center"/>
      <protection locked="0"/>
    </xf>
    <xf numFmtId="164" fontId="15" fillId="6" borderId="48" xfId="0" applyNumberFormat="1" applyFont="1" applyFill="1" applyBorder="1" applyAlignment="1" applyProtection="1">
      <alignment horizontal="center"/>
      <protection locked="0"/>
    </xf>
    <xf numFmtId="1" fontId="6" fillId="4" borderId="28" xfId="0" applyNumberFormat="1" applyFont="1" applyFill="1" applyBorder="1" applyAlignment="1">
      <alignment horizontal="center" vertical="center"/>
    </xf>
    <xf numFmtId="0" fontId="4" fillId="6" borderId="23" xfId="0" applyFont="1" applyFill="1" applyBorder="1" applyAlignment="1" applyProtection="1">
      <alignment horizontal="center"/>
      <protection hidden="1"/>
    </xf>
    <xf numFmtId="0" fontId="5" fillId="6" borderId="26" xfId="0" applyFont="1" applyFill="1" applyBorder="1" applyAlignment="1" applyProtection="1">
      <alignment horizontal="center" vertical="center"/>
      <protection hidden="1"/>
    </xf>
    <xf numFmtId="0" fontId="5" fillId="6" borderId="24" xfId="0" applyFont="1" applyFill="1" applyBorder="1" applyAlignment="1" applyProtection="1">
      <alignment horizontal="center" vertical="center"/>
      <protection hidden="1"/>
    </xf>
    <xf numFmtId="0" fontId="5" fillId="6" borderId="38" xfId="0" applyFont="1" applyFill="1" applyBorder="1" applyAlignment="1" applyProtection="1">
      <alignment horizontal="center" vertical="center"/>
      <protection hidden="1"/>
    </xf>
    <xf numFmtId="0" fontId="5" fillId="6" borderId="44" xfId="0" applyFont="1" applyFill="1" applyBorder="1" applyAlignment="1" applyProtection="1">
      <alignment horizontal="center" vertical="center"/>
      <protection hidden="1"/>
    </xf>
    <xf numFmtId="0" fontId="7" fillId="6" borderId="44" xfId="0" applyFont="1" applyFill="1" applyBorder="1" applyAlignment="1" applyProtection="1">
      <alignment horizontal="center" vertical="center" wrapText="1" shrinkToFit="1"/>
      <protection hidden="1"/>
    </xf>
    <xf numFmtId="0" fontId="50" fillId="6" borderId="23" xfId="0" applyFont="1" applyFill="1" applyBorder="1" applyAlignment="1">
      <alignment horizontal="left" vertical="center"/>
    </xf>
    <xf numFmtId="167" fontId="15" fillId="6" borderId="81" xfId="0" applyNumberFormat="1" applyFont="1" applyFill="1" applyBorder="1" applyAlignment="1">
      <alignment horizontal="center" vertical="top" wrapText="1"/>
    </xf>
    <xf numFmtId="167" fontId="15" fillId="6" borderId="7" xfId="0" applyNumberFormat="1" applyFont="1" applyFill="1" applyBorder="1" applyAlignment="1">
      <alignment horizontal="center" vertical="top" wrapText="1"/>
    </xf>
    <xf numFmtId="164" fontId="15" fillId="6" borderId="38" xfId="0" applyNumberFormat="1" applyFont="1" applyFill="1" applyBorder="1" applyAlignment="1" applyProtection="1">
      <alignment horizontal="center"/>
      <protection locked="0"/>
    </xf>
    <xf numFmtId="164" fontId="15" fillId="6" borderId="21" xfId="0" applyNumberFormat="1" applyFont="1" applyFill="1" applyBorder="1" applyAlignment="1" applyProtection="1">
      <alignment horizontal="center"/>
      <protection locked="0"/>
    </xf>
    <xf numFmtId="164" fontId="15" fillId="6" borderId="20" xfId="0" applyNumberFormat="1" applyFont="1" applyFill="1" applyBorder="1" applyAlignment="1" applyProtection="1">
      <alignment horizontal="center"/>
      <protection locked="0"/>
    </xf>
    <xf numFmtId="164" fontId="15" fillId="6" borderId="26" xfId="0" applyNumberFormat="1" applyFont="1" applyFill="1" applyBorder="1" applyAlignment="1" applyProtection="1">
      <alignment horizontal="center"/>
      <protection locked="0"/>
    </xf>
    <xf numFmtId="164" fontId="15" fillId="6" borderId="19" xfId="0" applyNumberFormat="1" applyFont="1" applyFill="1" applyBorder="1" applyAlignment="1" applyProtection="1">
      <alignment horizontal="center"/>
      <protection locked="0"/>
    </xf>
    <xf numFmtId="0" fontId="6" fillId="0" borderId="50" xfId="0" applyFont="1" applyBorder="1" applyAlignment="1">
      <alignment horizontal="center" vertical="center" wrapText="1" shrinkToFit="1"/>
    </xf>
    <xf numFmtId="0" fontId="24" fillId="6" borderId="30" xfId="0" applyFont="1" applyFill="1" applyBorder="1" applyAlignment="1" applyProtection="1">
      <alignment horizontal="center" vertical="center" wrapText="1" shrinkToFit="1"/>
      <protection locked="0"/>
    </xf>
    <xf numFmtId="0" fontId="24" fillId="6" borderId="7" xfId="0" applyFont="1" applyFill="1" applyBorder="1" applyAlignment="1" applyProtection="1">
      <alignment horizontal="center" vertical="center" wrapText="1" shrinkToFit="1"/>
      <protection locked="0"/>
    </xf>
    <xf numFmtId="0" fontId="9" fillId="4" borderId="30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177" fontId="4" fillId="6" borderId="24" xfId="0" applyNumberFormat="1" applyFont="1" applyFill="1" applyBorder="1" applyAlignment="1" applyProtection="1">
      <alignment horizontal="center"/>
      <protection hidden="1"/>
    </xf>
    <xf numFmtId="177" fontId="4" fillId="6" borderId="19" xfId="0" applyNumberFormat="1" applyFont="1" applyFill="1" applyBorder="1" applyAlignment="1" applyProtection="1">
      <alignment horizontal="center"/>
      <protection hidden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4" fillId="6" borderId="46" xfId="0" applyFont="1" applyFill="1" applyBorder="1" applyAlignment="1" applyProtection="1">
      <alignment horizontal="center" vertical="center" wrapText="1" shrinkToFit="1"/>
      <protection locked="0"/>
    </xf>
    <xf numFmtId="0" fontId="24" fillId="6" borderId="14" xfId="0" applyFont="1" applyFill="1" applyBorder="1" applyAlignment="1" applyProtection="1">
      <alignment horizontal="center" vertical="center" wrapText="1" shrinkToFit="1"/>
      <protection locked="0"/>
    </xf>
    <xf numFmtId="0" fontId="5" fillId="6" borderId="85" xfId="0" applyFont="1" applyFill="1" applyBorder="1" applyAlignment="1" applyProtection="1">
      <alignment horizontal="right"/>
      <protection hidden="1"/>
    </xf>
    <xf numFmtId="0" fontId="5" fillId="6" borderId="23" xfId="0" applyFont="1" applyFill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horizontal="center"/>
      <protection locked="0"/>
    </xf>
    <xf numFmtId="0" fontId="8" fillId="5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8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 shrinkToFit="1"/>
    </xf>
    <xf numFmtId="0" fontId="8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8" fillId="5" borderId="0" xfId="0" applyFont="1" applyFill="1" applyAlignment="1">
      <alignment horizontal="right"/>
    </xf>
    <xf numFmtId="14" fontId="6" fillId="0" borderId="0" xfId="0" applyNumberFormat="1" applyFont="1" applyAlignment="1" applyProtection="1">
      <alignment horizontal="center" vertical="center"/>
      <protection locked="0"/>
    </xf>
    <xf numFmtId="14" fontId="6" fillId="0" borderId="0" xfId="0" applyNumberFormat="1" applyFont="1" applyAlignment="1">
      <alignment horizontal="center" vertical="center"/>
    </xf>
    <xf numFmtId="0" fontId="8" fillId="5" borderId="0" xfId="0" applyFont="1" applyFill="1" applyAlignment="1">
      <alignment horizontal="right" vertical="center"/>
    </xf>
    <xf numFmtId="3" fontId="6" fillId="0" borderId="0" xfId="0" applyNumberFormat="1" applyFont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36" fillId="0" borderId="0" xfId="0" applyFont="1" applyAlignment="1" applyProtection="1">
      <alignment horizontal="center"/>
      <protection locked="0"/>
    </xf>
    <xf numFmtId="0" fontId="38" fillId="0" borderId="0" xfId="0" applyFont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/>
    <xf numFmtId="0" fontId="6" fillId="0" borderId="0" xfId="0" applyFont="1" applyAlignment="1" applyProtection="1">
      <alignment horizontal="center" vertical="center" wrapText="1" shrinkToFit="1"/>
      <protection locked="0"/>
    </xf>
    <xf numFmtId="0" fontId="36" fillId="0" borderId="0" xfId="0" applyFont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64" fontId="15" fillId="6" borderId="30" xfId="0" applyNumberFormat="1" applyFont="1" applyFill="1" applyBorder="1" applyAlignment="1">
      <alignment horizontal="center" vertical="top" wrapText="1"/>
    </xf>
    <xf numFmtId="164" fontId="15" fillId="6" borderId="78" xfId="0" applyNumberFormat="1" applyFont="1" applyFill="1" applyBorder="1" applyAlignment="1">
      <alignment horizontal="center" vertical="top" wrapText="1"/>
    </xf>
    <xf numFmtId="164" fontId="15" fillId="0" borderId="0" xfId="0" applyNumberFormat="1" applyFont="1" applyAlignment="1" applyProtection="1">
      <alignment horizontal="center"/>
      <protection locked="0"/>
    </xf>
    <xf numFmtId="164" fontId="15" fillId="0" borderId="2" xfId="0" applyNumberFormat="1" applyFont="1" applyBorder="1" applyAlignment="1" applyProtection="1">
      <alignment horizontal="center"/>
      <protection locked="0"/>
    </xf>
    <xf numFmtId="164" fontId="15" fillId="0" borderId="51" xfId="0" applyNumberFormat="1" applyFont="1" applyBorder="1" applyAlignment="1" applyProtection="1">
      <alignment horizontal="center"/>
      <protection locked="0"/>
    </xf>
    <xf numFmtId="164" fontId="15" fillId="6" borderId="47" xfId="0" applyNumberFormat="1" applyFont="1" applyFill="1" applyBorder="1" applyAlignment="1" applyProtection="1">
      <alignment horizontal="center"/>
      <protection locked="0"/>
    </xf>
    <xf numFmtId="164" fontId="15" fillId="6" borderId="17" xfId="0" applyNumberFormat="1" applyFont="1" applyFill="1" applyBorder="1" applyAlignment="1" applyProtection="1">
      <alignment horizontal="center"/>
      <protection locked="0"/>
    </xf>
    <xf numFmtId="0" fontId="5" fillId="6" borderId="46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80" fillId="0" borderId="0" xfId="0" applyFont="1" applyAlignment="1">
      <alignment horizontal="center" vertical="center" wrapText="1" shrinkToFit="1"/>
    </xf>
    <xf numFmtId="0" fontId="21" fillId="6" borderId="12" xfId="0" applyFont="1" applyFill="1" applyBorder="1" applyAlignment="1" applyProtection="1">
      <alignment horizontal="center" vertical="center" wrapText="1"/>
      <protection locked="0"/>
    </xf>
    <xf numFmtId="0" fontId="21" fillId="6" borderId="13" xfId="0" applyFont="1" applyFill="1" applyBorder="1" applyAlignment="1" applyProtection="1">
      <alignment horizontal="center" vertical="center" wrapText="1"/>
      <protection locked="0"/>
    </xf>
    <xf numFmtId="1" fontId="4" fillId="6" borderId="46" xfId="0" applyNumberFormat="1" applyFont="1" applyFill="1" applyBorder="1" applyAlignment="1" applyProtection="1">
      <alignment horizontal="center"/>
      <protection locked="0"/>
    </xf>
    <xf numFmtId="1" fontId="4" fillId="6" borderId="51" xfId="0" applyNumberFormat="1" applyFont="1" applyFill="1" applyBorder="1" applyAlignment="1" applyProtection="1">
      <alignment horizontal="center"/>
      <protection locked="0"/>
    </xf>
    <xf numFmtId="1" fontId="4" fillId="6" borderId="11" xfId="0" applyNumberFormat="1" applyFont="1" applyFill="1" applyBorder="1" applyAlignment="1" applyProtection="1">
      <alignment horizontal="center"/>
      <protection locked="0"/>
    </xf>
    <xf numFmtId="1" fontId="4" fillId="6" borderId="12" xfId="0" applyNumberFormat="1" applyFont="1" applyFill="1" applyBorder="1" applyAlignment="1" applyProtection="1">
      <alignment horizontal="center"/>
      <protection locked="0"/>
    </xf>
    <xf numFmtId="0" fontId="4" fillId="0" borderId="31" xfId="0" applyFont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1" fillId="6" borderId="11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1" fontId="5" fillId="6" borderId="0" xfId="0" applyNumberFormat="1" applyFont="1" applyFill="1" applyAlignment="1" applyProtection="1">
      <alignment horizontal="center" vertical="center" wrapText="1"/>
      <protection locked="0"/>
    </xf>
    <xf numFmtId="0" fontId="7" fillId="4" borderId="0" xfId="0" applyFont="1" applyFill="1" applyAlignment="1" applyProtection="1">
      <alignment horizontal="center"/>
      <protection locked="0"/>
    </xf>
    <xf numFmtId="0" fontId="11" fillId="0" borderId="46" xfId="0" applyFont="1" applyBorder="1" applyAlignment="1">
      <alignment horizontal="center" vertical="center" wrapText="1" shrinkToFit="1"/>
    </xf>
    <xf numFmtId="0" fontId="11" fillId="0" borderId="51" xfId="0" applyFont="1" applyBorder="1" applyAlignment="1">
      <alignment horizontal="center" vertical="center" wrapText="1" shrinkToFit="1"/>
    </xf>
    <xf numFmtId="0" fontId="11" fillId="0" borderId="14" xfId="0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center" vertical="center" wrapText="1" shrinkToFit="1"/>
    </xf>
    <xf numFmtId="0" fontId="11" fillId="0" borderId="13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3" fillId="0" borderId="30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5" fillId="6" borderId="46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18" fillId="6" borderId="30" xfId="0" applyFont="1" applyFill="1" applyBorder="1" applyAlignment="1">
      <alignment horizontal="center" vertical="center" wrapText="1"/>
    </xf>
    <xf numFmtId="0" fontId="18" fillId="6" borderId="31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3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0" borderId="5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6" borderId="82" xfId="0" applyFont="1" applyFill="1" applyBorder="1" applyAlignment="1" applyProtection="1">
      <alignment horizontal="center"/>
      <protection hidden="1"/>
    </xf>
    <xf numFmtId="0" fontId="5" fillId="6" borderId="79" xfId="0" applyFont="1" applyFill="1" applyBorder="1" applyAlignment="1" applyProtection="1">
      <alignment horizontal="center"/>
      <protection hidden="1"/>
    </xf>
    <xf numFmtId="0" fontId="5" fillId="6" borderId="80" xfId="0" applyFont="1" applyFill="1" applyBorder="1" applyAlignment="1" applyProtection="1">
      <alignment horizontal="center"/>
      <protection hidden="1"/>
    </xf>
    <xf numFmtId="177" fontId="4" fillId="6" borderId="23" xfId="0" applyNumberFormat="1" applyFont="1" applyFill="1" applyBorder="1" applyAlignment="1" applyProtection="1">
      <alignment horizontal="center"/>
      <protection hidden="1"/>
    </xf>
    <xf numFmtId="177" fontId="4" fillId="6" borderId="68" xfId="0" applyNumberFormat="1" applyFont="1" applyFill="1" applyBorder="1" applyAlignment="1" applyProtection="1">
      <alignment horizontal="center"/>
      <protection hidden="1"/>
    </xf>
    <xf numFmtId="49" fontId="2" fillId="6" borderId="11" xfId="0" applyNumberFormat="1" applyFont="1" applyFill="1" applyBorder="1" applyAlignment="1" applyProtection="1">
      <alignment horizontal="center"/>
      <protection locked="0"/>
    </xf>
    <xf numFmtId="49" fontId="2" fillId="6" borderId="13" xfId="0" applyNumberFormat="1" applyFont="1" applyFill="1" applyBorder="1" applyAlignment="1" applyProtection="1">
      <alignment horizontal="center"/>
      <protection locked="0"/>
    </xf>
    <xf numFmtId="49" fontId="2" fillId="6" borderId="10" xfId="0" applyNumberFormat="1" applyFont="1" applyFill="1" applyBorder="1" applyAlignment="1" applyProtection="1">
      <alignment horizontal="center"/>
      <protection locked="0"/>
    </xf>
    <xf numFmtId="49" fontId="2" fillId="6" borderId="33" xfId="0" applyNumberFormat="1" applyFont="1" applyFill="1" applyBorder="1" applyAlignment="1" applyProtection="1">
      <alignment horizontal="center"/>
      <protection locked="0"/>
    </xf>
    <xf numFmtId="0" fontId="5" fillId="0" borderId="24" xfId="0" applyFont="1" applyBorder="1" applyAlignment="1" applyProtection="1">
      <alignment horizontal="center"/>
      <protection hidden="1"/>
    </xf>
    <xf numFmtId="0" fontId="5" fillId="0" borderId="19" xfId="0" applyFont="1" applyBorder="1" applyAlignment="1" applyProtection="1">
      <alignment horizontal="center"/>
      <protection hidden="1"/>
    </xf>
    <xf numFmtId="0" fontId="5" fillId="0" borderId="63" xfId="0" applyFont="1" applyBorder="1" applyAlignment="1" applyProtection="1">
      <alignment horizontal="center"/>
      <protection hidden="1"/>
    </xf>
    <xf numFmtId="0" fontId="5" fillId="0" borderId="86" xfId="0" applyFont="1" applyBorder="1" applyAlignment="1" applyProtection="1">
      <alignment horizontal="center"/>
      <protection hidden="1"/>
    </xf>
    <xf numFmtId="0" fontId="50" fillId="6" borderId="24" xfId="0" applyFont="1" applyFill="1" applyBorder="1" applyAlignment="1">
      <alignment horizontal="left"/>
    </xf>
    <xf numFmtId="0" fontId="50" fillId="6" borderId="24" xfId="0" applyFont="1" applyFill="1" applyBorder="1" applyAlignment="1">
      <alignment horizontal="left" vertical="center"/>
    </xf>
    <xf numFmtId="0" fontId="0" fillId="12" borderId="24" xfId="0" applyFill="1" applyBorder="1" applyAlignment="1">
      <alignment horizontal="center"/>
    </xf>
    <xf numFmtId="0" fontId="77" fillId="0" borderId="0" xfId="0" applyFont="1" applyAlignment="1">
      <alignment horizontal="center" vertical="center"/>
    </xf>
    <xf numFmtId="0" fontId="7" fillId="4" borderId="0" xfId="0" applyFont="1" applyFill="1"/>
    <xf numFmtId="2" fontId="7" fillId="2" borderId="0" xfId="0" applyNumberFormat="1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55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wrapText="1"/>
    </xf>
    <xf numFmtId="0" fontId="84" fillId="0" borderId="0" xfId="0" applyFont="1" applyAlignment="1">
      <alignment horizontal="center"/>
    </xf>
    <xf numFmtId="0" fontId="85" fillId="0" borderId="0" xfId="0" applyFont="1" applyAlignment="1">
      <alignment horizontal="center" vertical="top"/>
    </xf>
    <xf numFmtId="0" fontId="6" fillId="2" borderId="0" xfId="0" applyFont="1" applyFill="1" applyAlignment="1">
      <alignment horizontal="left"/>
    </xf>
    <xf numFmtId="1" fontId="89" fillId="0" borderId="63" xfId="0" applyNumberFormat="1" applyFont="1" applyBorder="1" applyAlignment="1">
      <alignment horizontal="center" vertical="center"/>
    </xf>
    <xf numFmtId="1" fontId="89" fillId="0" borderId="62" xfId="0" applyNumberFormat="1" applyFont="1" applyBorder="1" applyAlignment="1">
      <alignment horizontal="center" vertical="center"/>
    </xf>
    <xf numFmtId="1" fontId="89" fillId="0" borderId="23" xfId="0" applyNumberFormat="1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89" fillId="0" borderId="54" xfId="0" applyFont="1" applyBorder="1" applyAlignment="1">
      <alignment horizontal="center" vertical="center"/>
    </xf>
    <xf numFmtId="0" fontId="89" fillId="0" borderId="56" xfId="0" applyFont="1" applyBorder="1" applyAlignment="1">
      <alignment horizontal="center" vertical="center"/>
    </xf>
    <xf numFmtId="0" fontId="89" fillId="0" borderId="57" xfId="0" applyFont="1" applyBorder="1" applyAlignment="1">
      <alignment horizontal="center" vertical="center"/>
    </xf>
    <xf numFmtId="0" fontId="89" fillId="0" borderId="59" xfId="0" applyFont="1" applyBorder="1" applyAlignment="1">
      <alignment horizontal="center" vertical="center"/>
    </xf>
    <xf numFmtId="1" fontId="34" fillId="0" borderId="55" xfId="0" applyNumberFormat="1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89" fillId="0" borderId="58" xfId="0" applyFont="1" applyBorder="1" applyAlignment="1">
      <alignment horizontal="center" vertical="center"/>
    </xf>
    <xf numFmtId="0" fontId="89" fillId="0" borderId="17" xfId="0" applyFont="1" applyBorder="1" applyAlignment="1">
      <alignment horizontal="center" vertical="center"/>
    </xf>
    <xf numFmtId="167" fontId="89" fillId="0" borderId="16" xfId="0" applyNumberFormat="1" applyFont="1" applyBorder="1" applyAlignment="1">
      <alignment horizontal="center" vertical="center"/>
    </xf>
    <xf numFmtId="167" fontId="89" fillId="0" borderId="17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89" fillId="0" borderId="16" xfId="0" applyNumberFormat="1" applyFont="1" applyBorder="1" applyAlignment="1">
      <alignment horizontal="center" vertical="center"/>
    </xf>
    <xf numFmtId="164" fontId="89" fillId="0" borderId="17" xfId="0" applyNumberFormat="1" applyFont="1" applyBorder="1" applyAlignment="1">
      <alignment horizontal="center" vertical="center"/>
    </xf>
    <xf numFmtId="1" fontId="89" fillId="0" borderId="16" xfId="0" applyNumberFormat="1" applyFont="1" applyBorder="1" applyAlignment="1">
      <alignment horizontal="center" vertical="center"/>
    </xf>
    <xf numFmtId="1" fontId="89" fillId="0" borderId="17" xfId="0" applyNumberFormat="1" applyFont="1" applyBorder="1" applyAlignment="1">
      <alignment horizontal="center" vertical="center"/>
    </xf>
    <xf numFmtId="167" fontId="89" fillId="0" borderId="10" xfId="0" applyNumberFormat="1" applyFont="1" applyBorder="1" applyAlignment="1">
      <alignment horizontal="center" vertical="center"/>
    </xf>
    <xf numFmtId="0" fontId="75" fillId="0" borderId="0" xfId="0" applyFont="1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60" fillId="0" borderId="55" xfId="0" applyFont="1" applyBorder="1" applyAlignment="1">
      <alignment horizontal="center" vertical="center"/>
    </xf>
    <xf numFmtId="0" fontId="79" fillId="0" borderId="61" xfId="0" applyFont="1" applyBorder="1" applyAlignment="1">
      <alignment horizontal="center"/>
    </xf>
    <xf numFmtId="0" fontId="79" fillId="0" borderId="0" xfId="0" applyFont="1" applyAlignment="1">
      <alignment horizontal="center"/>
    </xf>
    <xf numFmtId="177" fontId="79" fillId="0" borderId="0" xfId="0" applyNumberFormat="1" applyFont="1" applyAlignment="1">
      <alignment horizontal="center" vertical="center"/>
    </xf>
    <xf numFmtId="177" fontId="79" fillId="0" borderId="60" xfId="0" applyNumberFormat="1" applyFont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 wrapText="1"/>
    </xf>
    <xf numFmtId="0" fontId="76" fillId="4" borderId="10" xfId="0" applyFont="1" applyFill="1" applyBorder="1" applyAlignment="1">
      <alignment horizontal="center" vertical="center" wrapText="1"/>
    </xf>
    <xf numFmtId="0" fontId="76" fillId="4" borderId="17" xfId="0" applyFont="1" applyFill="1" applyBorder="1" applyAlignment="1">
      <alignment horizontal="center" vertical="center" wrapText="1"/>
    </xf>
    <xf numFmtId="0" fontId="79" fillId="0" borderId="61" xfId="0" applyFont="1" applyBorder="1" applyAlignment="1">
      <alignment horizontal="center" vertical="center"/>
    </xf>
    <xf numFmtId="0" fontId="79" fillId="0" borderId="0" xfId="0" applyFont="1" applyAlignment="1">
      <alignment horizontal="center" vertical="center"/>
    </xf>
    <xf numFmtId="49" fontId="77" fillId="0" borderId="0" xfId="0" applyNumberFormat="1" applyFont="1" applyAlignment="1">
      <alignment horizontal="center" vertical="center"/>
    </xf>
    <xf numFmtId="49" fontId="77" fillId="0" borderId="60" xfId="0" applyNumberFormat="1" applyFont="1" applyBorder="1" applyAlignment="1">
      <alignment horizontal="center" vertical="center"/>
    </xf>
    <xf numFmtId="177" fontId="76" fillId="0" borderId="0" xfId="0" applyNumberFormat="1" applyFont="1" applyAlignment="1">
      <alignment horizontal="center"/>
    </xf>
    <xf numFmtId="0" fontId="55" fillId="0" borderId="57" xfId="0" applyFont="1" applyBorder="1" applyAlignment="1">
      <alignment horizontal="center" vertical="center"/>
    </xf>
    <xf numFmtId="0" fontId="55" fillId="0" borderId="58" xfId="0" applyFont="1" applyBorder="1" applyAlignment="1">
      <alignment horizontal="center" vertical="center"/>
    </xf>
    <xf numFmtId="0" fontId="55" fillId="0" borderId="59" xfId="0" applyFont="1" applyBorder="1" applyAlignment="1">
      <alignment horizontal="center" vertical="center"/>
    </xf>
    <xf numFmtId="0" fontId="76" fillId="4" borderId="16" xfId="0" applyFont="1" applyFill="1" applyBorder="1" applyAlignment="1">
      <alignment horizontal="center" vertical="center" wrapText="1"/>
    </xf>
    <xf numFmtId="0" fontId="74" fillId="0" borderId="61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49" fontId="74" fillId="0" borderId="0" xfId="0" applyNumberFormat="1" applyFont="1" applyAlignment="1">
      <alignment horizontal="center" vertical="center"/>
    </xf>
    <xf numFmtId="49" fontId="74" fillId="0" borderId="60" xfId="0" applyNumberFormat="1" applyFont="1" applyBorder="1" applyAlignment="1">
      <alignment horizontal="center" vertical="center"/>
    </xf>
    <xf numFmtId="0" fontId="77" fillId="0" borderId="61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0" fontId="74" fillId="0" borderId="0" xfId="0" applyFont="1" applyAlignment="1">
      <alignment horizontal="right"/>
    </xf>
    <xf numFmtId="0" fontId="77" fillId="0" borderId="61" xfId="0" applyFont="1" applyBorder="1" applyAlignment="1">
      <alignment horizontal="right"/>
    </xf>
    <xf numFmtId="0" fontId="77" fillId="0" borderId="0" xfId="0" applyFont="1" applyAlignment="1">
      <alignment horizontal="right"/>
    </xf>
    <xf numFmtId="0" fontId="7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76" fillId="0" borderId="0" xfId="0" applyFont="1"/>
    <xf numFmtId="0" fontId="74" fillId="0" borderId="61" xfId="0" applyFont="1" applyBorder="1" applyAlignment="1">
      <alignment horizontal="right"/>
    </xf>
    <xf numFmtId="0" fontId="89" fillId="0" borderId="24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79" fillId="0" borderId="0" xfId="0" applyFont="1" applyAlignment="1">
      <alignment horizontal="right" vertical="center"/>
    </xf>
    <xf numFmtId="0" fontId="89" fillId="0" borderId="16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6" fillId="0" borderId="0" xfId="0" applyFont="1" applyAlignment="1">
      <alignment horizontal="center" vertical="center" wrapText="1"/>
    </xf>
    <xf numFmtId="0" fontId="87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4" fontId="63" fillId="0" borderId="16" xfId="3" applyNumberFormat="1" applyFont="1" applyBorder="1" applyAlignment="1">
      <alignment horizontal="center"/>
    </xf>
    <xf numFmtId="0" fontId="63" fillId="0" borderId="17" xfId="3" applyFont="1" applyBorder="1" applyAlignment="1">
      <alignment horizontal="center"/>
    </xf>
    <xf numFmtId="0" fontId="63" fillId="0" borderId="16" xfId="3" applyFont="1" applyBorder="1" applyAlignment="1">
      <alignment horizontal="center"/>
    </xf>
    <xf numFmtId="0" fontId="63" fillId="0" borderId="24" xfId="3" applyFont="1" applyBorder="1" applyAlignment="1">
      <alignment horizontal="center"/>
    </xf>
    <xf numFmtId="0" fontId="63" fillId="0" borderId="10" xfId="3" applyFont="1" applyBorder="1" applyAlignment="1">
      <alignment horizontal="left"/>
    </xf>
    <xf numFmtId="0" fontId="63" fillId="0" borderId="0" xfId="3" applyFont="1" applyAlignment="1">
      <alignment horizontal="right"/>
    </xf>
    <xf numFmtId="0" fontId="63" fillId="0" borderId="58" xfId="3" applyFont="1" applyBorder="1" applyAlignment="1">
      <alignment horizontal="left"/>
    </xf>
    <xf numFmtId="49" fontId="63" fillId="0" borderId="10" xfId="3" applyNumberFormat="1" applyFont="1" applyBorder="1" applyAlignment="1">
      <alignment horizontal="left"/>
    </xf>
    <xf numFmtId="0" fontId="63" fillId="0" borderId="10" xfId="3" applyFont="1" applyBorder="1" applyAlignment="1">
      <alignment horizontal="center"/>
    </xf>
    <xf numFmtId="0" fontId="33" fillId="0" borderId="58" xfId="1" applyFont="1" applyFill="1" applyBorder="1" applyAlignment="1" applyProtection="1">
      <alignment horizontal="left"/>
    </xf>
    <xf numFmtId="0" fontId="63" fillId="0" borderId="58" xfId="3" applyFont="1" applyBorder="1"/>
    <xf numFmtId="180" fontId="99" fillId="0" borderId="93" xfId="6" applyFont="1" applyBorder="1" applyAlignment="1">
      <alignment horizontal="center" vertical="center"/>
    </xf>
    <xf numFmtId="180" fontId="99" fillId="0" borderId="94" xfId="6" applyFont="1" applyBorder="1" applyAlignment="1">
      <alignment horizontal="center" vertical="center"/>
    </xf>
    <xf numFmtId="180" fontId="99" fillId="0" borderId="95" xfId="6" applyFont="1" applyBorder="1" applyAlignment="1">
      <alignment horizontal="center" vertical="center"/>
    </xf>
    <xf numFmtId="180" fontId="99" fillId="0" borderId="96" xfId="6" applyFont="1" applyBorder="1" applyAlignment="1">
      <alignment horizontal="center" vertical="center"/>
    </xf>
  </cellXfs>
  <cellStyles count="7">
    <cellStyle name="Excel Built-in Normal" xfId="5"/>
    <cellStyle name="Hipervínculo" xfId="1" builtinId="8"/>
    <cellStyle name="Millares 2" xfId="2"/>
    <cellStyle name="Normal" xfId="0" builtinId="0"/>
    <cellStyle name="Normal 2" xfId="3"/>
    <cellStyle name="Normal 2 2" xfId="6"/>
    <cellStyle name="Normal 3" xfId="4"/>
  </cellStyles>
  <dxfs count="4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334453380901157"/>
          <c:y val="0.19223254865030912"/>
          <c:w val="0.78725137801694123"/>
          <c:h val="0.58347112860892369"/>
        </c:manualLayout>
      </c:layout>
      <c:lineChart>
        <c:grouping val="standard"/>
        <c:varyColors val="0"/>
        <c:ser>
          <c:idx val="1"/>
          <c:order val="0"/>
          <c:tx>
            <c:v>PRUEBA DE EXACTITUD</c:v>
          </c:tx>
          <c:spPr>
            <a:ln w="12700">
              <a:solidFill>
                <a:schemeClr val="tx1">
                  <a:lumMod val="95000"/>
                  <a:lumOff val="5000"/>
                </a:schemeClr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FF"/>
              </a:solidFill>
              <a:ln>
                <a:solidFill>
                  <a:sysClr val="windowText" lastClr="000000">
                    <a:alpha val="93000"/>
                  </a:sysClr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calculo2!$D$25:$D$34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calculo2!$D$25:$D$34</c:f>
                <c:numCache>
                  <c:formatCode>General</c:formatCode>
                  <c:ptCount val="1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cat>
            <c:numRef>
              <c:f>calculo2!$B$25:$B$29</c:f>
              <c:numCache>
                <c:formatCode>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</c:numCache>
            </c:numRef>
          </c:cat>
          <c:val>
            <c:numRef>
              <c:f>calculo2!$C$25:$C$29</c:f>
              <c:numCache>
                <c:formatCode>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9-4232-AC57-349678CD65DF}"/>
            </c:ext>
          </c:extLst>
        </c:ser>
        <c:ser>
          <c:idx val="2"/>
          <c:order val="1"/>
          <c:cat>
            <c:numRef>
              <c:f>calculo2!$B$25:$B$29</c:f>
              <c:numCache>
                <c:formatCode>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</c:numCache>
            </c:numRef>
          </c:cat>
          <c:val>
            <c:numRef>
              <c:f>calculo2!$E$24:$E$33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9-4232-AC57-349678CD65DF}"/>
            </c:ext>
          </c:extLst>
        </c:ser>
        <c:ser>
          <c:idx val="3"/>
          <c:order val="2"/>
          <c:cat>
            <c:numRef>
              <c:f>calculo2!$B$25:$B$29</c:f>
              <c:numCache>
                <c:formatCode>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</c:numCache>
            </c:numRef>
          </c:cat>
          <c:val>
            <c:numRef>
              <c:f>calculo2!$F$24:$F$33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69-4232-AC57-349678CD6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393272"/>
        <c:axId val="1"/>
      </c:lineChart>
      <c:catAx>
        <c:axId val="3173932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s-MX"/>
                  <a:t>CARGA NOMINAL ( g )</a:t>
                </a:r>
              </a:p>
            </c:rich>
          </c:tx>
          <c:layout>
            <c:manualLayout>
              <c:xMode val="edge"/>
              <c:yMode val="edge"/>
              <c:x val="0.4285721504063329"/>
              <c:y val="0.90031092267312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MX"/>
          </a:p>
        </c:txPr>
        <c:crossAx val="1"/>
        <c:crosses val="autoZero"/>
        <c:auto val="1"/>
        <c:lblAlgn val="ctr"/>
        <c:lblOffset val="100"/>
        <c:tickLblSkip val="1"/>
        <c:tickMarkSkip val="30"/>
        <c:noMultiLvlLbl val="0"/>
      </c:catAx>
      <c:valAx>
        <c:axId val="1"/>
        <c:scaling>
          <c:orientation val="minMax"/>
          <c:max val="2.5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 sz="9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ERROR DE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 sz="9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INDICACIÓN ( g </a:t>
                </a:r>
                <a:r>
                  <a:rPr lang="es-MX" sz="1000" b="1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8.164835010596937E-3"/>
              <c:y val="0.2452712641689019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s-MX"/>
          </a:p>
        </c:txPr>
        <c:crossAx val="317393272"/>
        <c:crosses val="autoZero"/>
        <c:crossBetween val="between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s-MX"/>
    </a:p>
  </c:txPr>
  <c:printSettings>
    <c:headerFooter alignWithMargins="0"/>
    <c:pageMargins b="1" l="0.75000000000000022" r="0.75000000000000022" t="1" header="0" footer="0"/>
    <c:pageSetup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 panose="020B0604020202020204" pitchFamily="34" charset="0"/>
                <a:ea typeface="Baskerville Old Face"/>
                <a:cs typeface="Arial" panose="020B0604020202020204" pitchFamily="34" charset="0"/>
              </a:defRPr>
            </a:pP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Prueba de exactitud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20602557846115"/>
          <c:y val="0.20921676635914074"/>
          <c:w val="0.81453018372703412"/>
          <c:h val="0.6315820939049285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CERT!$D$87:$D$91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CERT!$D$87:$D$91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CERT!$B$87:$B$91</c:f>
              <c:numCache>
                <c:formatCode>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cat>
          <c:val>
            <c:numRef>
              <c:f>CERT!$C$87:$C$91</c:f>
              <c:numCache>
                <c:formatCode>0.000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E-4770-BF0D-C9722E224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497272"/>
        <c:axId val="1"/>
      </c:lineChart>
      <c:catAx>
        <c:axId val="435497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 algn="ctr">
                  <a:defRPr lang="es-MX" sz="900" b="0" i="0" u="none" strike="noStrike" kern="1200" baseline="0">
                    <a:solidFill>
                      <a:srgbClr val="333333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s-MX" sz="900" b="0" i="0" u="none" strike="noStrike" kern="1200" baseline="0">
                    <a:solidFill>
                      <a:srgbClr val="333333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rPr>
                  <a:t>CARGA NOMINAL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 algn="ctr" rtl="0">
              <a:defRPr lang="en-US" sz="900" b="0" i="0" u="none" strike="noStrike" kern="1200" baseline="0">
                <a:solidFill>
                  <a:srgbClr val="333333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s-MX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Arial" panose="020B0604020202020204" pitchFamily="34" charset="0"/>
                    <a:ea typeface="Baskerville Old Face"/>
                    <a:cs typeface="Arial" panose="020B0604020202020204" pitchFamily="34" charset="0"/>
                  </a:defRPr>
                </a:pPr>
                <a:r>
                  <a:rPr lang="es-MX" sz="900">
                    <a:latin typeface="Arial" panose="020B0604020202020204" pitchFamily="34" charset="0"/>
                    <a:cs typeface="Arial" panose="020B0604020202020204" pitchFamily="34" charset="0"/>
                  </a:rPr>
                  <a:t>Error de Indicación </a:t>
                </a:r>
              </a:p>
            </c:rich>
          </c:tx>
          <c:layout>
            <c:manualLayout>
              <c:xMode val="edge"/>
              <c:yMode val="edge"/>
              <c:x val="2.7778292419329939E-3"/>
              <c:y val="0.196425039144785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s-MX"/>
          </a:p>
        </c:txPr>
        <c:crossAx val="435497272"/>
        <c:crosses val="autoZero"/>
        <c:crossBetween val="between"/>
      </c:valAx>
      <c:spPr>
        <a:solidFill>
          <a:schemeClr val="bg1"/>
        </a:solidFill>
        <a:effectLst>
          <a:glow rad="127000">
            <a:schemeClr val="bg1"/>
          </a:glow>
        </a:effectLst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microsoft.com/office/2007/relationships/hdphoto" Target="../media/hdphoto1.wdp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image" Target="../media/image22.png"/><Relationship Id="rId7" Type="http://schemas.openxmlformats.org/officeDocument/2006/relationships/image" Target="../media/image26.wmf"/><Relationship Id="rId2" Type="http://schemas.openxmlformats.org/officeDocument/2006/relationships/image" Target="../media/image21.png"/><Relationship Id="rId1" Type="http://schemas.openxmlformats.org/officeDocument/2006/relationships/chart" Target="../charts/chart1.xml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image" Target="../media/image24.png"/><Relationship Id="rId7" Type="http://schemas.openxmlformats.org/officeDocument/2006/relationships/image" Target="../media/image3.png"/><Relationship Id="rId2" Type="http://schemas.openxmlformats.org/officeDocument/2006/relationships/image" Target="../media/image25.png"/><Relationship Id="rId1" Type="http://schemas.openxmlformats.org/officeDocument/2006/relationships/image" Target="../media/image4.png"/><Relationship Id="rId6" Type="http://schemas.openxmlformats.org/officeDocument/2006/relationships/image" Target="../media/image1.png"/><Relationship Id="rId5" Type="http://schemas.openxmlformats.org/officeDocument/2006/relationships/image" Target="../media/image30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.wmf"/><Relationship Id="rId3" Type="http://schemas.openxmlformats.org/officeDocument/2006/relationships/image" Target="../media/image11.wmf"/><Relationship Id="rId7" Type="http://schemas.openxmlformats.org/officeDocument/2006/relationships/image" Target="../media/image15.wmf"/><Relationship Id="rId12" Type="http://schemas.openxmlformats.org/officeDocument/2006/relationships/image" Target="../media/image20.emf"/><Relationship Id="rId2" Type="http://schemas.openxmlformats.org/officeDocument/2006/relationships/image" Target="../media/image10.wmf"/><Relationship Id="rId1" Type="http://schemas.openxmlformats.org/officeDocument/2006/relationships/image" Target="../media/image9.wmf"/><Relationship Id="rId6" Type="http://schemas.openxmlformats.org/officeDocument/2006/relationships/image" Target="../media/image14.wmf"/><Relationship Id="rId11" Type="http://schemas.openxmlformats.org/officeDocument/2006/relationships/image" Target="../media/image19.emf"/><Relationship Id="rId5" Type="http://schemas.openxmlformats.org/officeDocument/2006/relationships/image" Target="../media/image13.wmf"/><Relationship Id="rId10" Type="http://schemas.openxmlformats.org/officeDocument/2006/relationships/image" Target="../media/image18.emf"/><Relationship Id="rId4" Type="http://schemas.openxmlformats.org/officeDocument/2006/relationships/image" Target="../media/image12.wmf"/><Relationship Id="rId9" Type="http://schemas.openxmlformats.org/officeDocument/2006/relationships/image" Target="../media/image1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323850</xdr:colOff>
      <xdr:row>50</xdr:row>
      <xdr:rowOff>27533</xdr:rowOff>
    </xdr:from>
    <xdr:to>
      <xdr:col>11</xdr:col>
      <xdr:colOff>76138</xdr:colOff>
      <xdr:row>55</xdr:row>
      <xdr:rowOff>9526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0" y="8580983"/>
          <a:ext cx="590488" cy="696368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50</xdr:row>
      <xdr:rowOff>47625</xdr:rowOff>
    </xdr:from>
    <xdr:to>
      <xdr:col>15</xdr:col>
      <xdr:colOff>209550</xdr:colOff>
      <xdr:row>53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56770" b="62351" l="3845" r="30374">
                      <a14:foregroundMark x1="8176" y1="59612" x2="8176" y2="59612"/>
                      <a14:foregroundMark x1="11176" y1="61897" x2="11176" y2="61897"/>
                      <a14:foregroundMark x1="11529" y1="62155" x2="11529" y2="62155"/>
                      <a14:foregroundMark x1="19118" y1="58879" x2="19118" y2="58879"/>
                      <a14:foregroundMark x1="19059" y1="59009" x2="19059" y2="59009"/>
                      <a14:foregroundMark x1="23118" y1="58060" x2="23706" y2="58448"/>
                      <a14:foregroundMark x1="23118" y1="58103" x2="23412" y2="57802"/>
                      <a14:foregroundMark x1="23353" y1="57845" x2="23882" y2="57931"/>
                      <a14:foregroundMark x1="18706" y1="58621" x2="18706" y2="59353"/>
                      <a14:foregroundMark x1="18765" y1="58534" x2="19765" y2="59095"/>
                      <a14:foregroundMark x1="24529" y1="60991" x2="24941" y2="60819"/>
                      <a14:foregroundMark x1="25000" y1="60862" x2="24412" y2="60216"/>
                      <a14:foregroundMark x1="24471" y1="61207" x2="24176" y2="6017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29" t="56072" r="66310" b="36951"/>
        <a:stretch/>
      </xdr:blipFill>
      <xdr:spPr bwMode="auto">
        <a:xfrm rot="385749">
          <a:off x="4705350" y="8601075"/>
          <a:ext cx="1790700" cy="5143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304800</xdr:colOff>
      <xdr:row>49</xdr:row>
      <xdr:rowOff>19050</xdr:rowOff>
    </xdr:from>
    <xdr:to>
      <xdr:col>9</xdr:col>
      <xdr:colOff>335644</xdr:colOff>
      <xdr:row>54</xdr:row>
      <xdr:rowOff>92710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698" b="19483" l="46294" r="66765">
                      <a14:backgroundMark x1="54235" y1="12759" x2="54235" y2="13750"/>
                      <a14:backgroundMark x1="53000" y1="17414" x2="53000" y2="17414"/>
                      <a14:backgroundMark x1="51647" y1="18448" x2="51647" y2="18448"/>
                      <a14:backgroundMark x1="51000" y1="18922" x2="53118" y2="1741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3784" t="8590" r="30678" b="79959"/>
        <a:stretch/>
      </xdr:blipFill>
      <xdr:spPr bwMode="auto">
        <a:xfrm>
          <a:off x="2819400" y="8429625"/>
          <a:ext cx="1288144" cy="7880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190500</xdr:colOff>
      <xdr:row>3</xdr:row>
      <xdr:rowOff>123825</xdr:rowOff>
    </xdr:from>
    <xdr:ext cx="1119591" cy="764987"/>
    <xdr:pic>
      <xdr:nvPicPr>
        <xdr:cNvPr id="9" name="18 Imagen">
          <a:extLst>
            <a:ext uri="{FF2B5EF4-FFF2-40B4-BE49-F238E27FC236}">
              <a16:creationId xmlns:a16="http://schemas.microsoft.com/office/drawing/2014/main" id="{1EEA90F4-59A7-4A6A-883F-B37A6D840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lum/>
          <a:alphaModFix/>
        </a:blip>
        <a:srcRect/>
        <a:stretch>
          <a:fillRect/>
        </a:stretch>
      </xdr:blipFill>
      <xdr:spPr>
        <a:xfrm>
          <a:off x="190500" y="647700"/>
          <a:ext cx="1119591" cy="76498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6</xdr:col>
      <xdr:colOff>95250</xdr:colOff>
      <xdr:row>34</xdr:row>
      <xdr:rowOff>38100</xdr:rowOff>
    </xdr:from>
    <xdr:ext cx="1560606" cy="787298"/>
    <xdr:pic>
      <xdr:nvPicPr>
        <xdr:cNvPr id="10" name="Imagen 1">
          <a:extLst>
            <a:ext uri="{FF2B5EF4-FFF2-40B4-BE49-F238E27FC236}">
              <a16:creationId xmlns:a16="http://schemas.microsoft.com/office/drawing/2014/main" id="{7B038516-CA6E-421D-97BA-D360AD2D0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lum/>
          <a:alphaModFix/>
        </a:blip>
        <a:srcRect/>
        <a:stretch>
          <a:fillRect/>
        </a:stretch>
      </xdr:blipFill>
      <xdr:spPr>
        <a:xfrm>
          <a:off x="2609850" y="6048375"/>
          <a:ext cx="1560606" cy="78729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10</xdr:col>
      <xdr:colOff>95250</xdr:colOff>
      <xdr:row>33</xdr:row>
      <xdr:rowOff>152400</xdr:rowOff>
    </xdr:from>
    <xdr:ext cx="1981779" cy="872611"/>
    <xdr:pic>
      <xdr:nvPicPr>
        <xdr:cNvPr id="11" name="Imagen 10">
          <a:extLst>
            <a:ext uri="{FF2B5EF4-FFF2-40B4-BE49-F238E27FC236}">
              <a16:creationId xmlns:a16="http://schemas.microsoft.com/office/drawing/2014/main" id="{F94A23FC-9599-4C02-83E3-23C06B4CB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lum/>
          <a:alphaModFix/>
        </a:blip>
        <a:srcRect/>
        <a:stretch>
          <a:fillRect/>
        </a:stretch>
      </xdr:blipFill>
      <xdr:spPr>
        <a:xfrm>
          <a:off x="4286250" y="5991225"/>
          <a:ext cx="1981779" cy="87261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53</xdr:row>
      <xdr:rowOff>85725</xdr:rowOff>
    </xdr:from>
    <xdr:to>
      <xdr:col>20</xdr:col>
      <xdr:colOff>438150</xdr:colOff>
      <xdr:row>75</xdr:row>
      <xdr:rowOff>123825</xdr:rowOff>
    </xdr:to>
    <xdr:pic>
      <xdr:nvPicPr>
        <xdr:cNvPr id="1699840" name="1 Imagen">
          <a:extLst>
            <a:ext uri="{FF2B5EF4-FFF2-40B4-BE49-F238E27FC236}">
              <a16:creationId xmlns:a16="http://schemas.microsoft.com/office/drawing/2014/main" id="{00000000-0008-0000-0100-000000F01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11029950"/>
          <a:ext cx="7000875" cy="3629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95250</xdr:colOff>
      <xdr:row>39</xdr:row>
      <xdr:rowOff>142875</xdr:rowOff>
    </xdr:from>
    <xdr:to>
      <xdr:col>21</xdr:col>
      <xdr:colOff>190500</xdr:colOff>
      <xdr:row>41</xdr:row>
      <xdr:rowOff>133350</xdr:rowOff>
    </xdr:to>
    <xdr:pic>
      <xdr:nvPicPr>
        <xdr:cNvPr id="1699841" name="Imagen 4">
          <a:extLst>
            <a:ext uri="{FF2B5EF4-FFF2-40B4-BE49-F238E27FC236}">
              <a16:creationId xmlns:a16="http://schemas.microsoft.com/office/drawing/2014/main" id="{00000000-0008-0000-0100-000001F01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8181975"/>
          <a:ext cx="66865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19</xdr:row>
      <xdr:rowOff>28575</xdr:rowOff>
    </xdr:from>
    <xdr:to>
      <xdr:col>8</xdr:col>
      <xdr:colOff>114300</xdr:colOff>
      <xdr:row>31</xdr:row>
      <xdr:rowOff>190500</xdr:rowOff>
    </xdr:to>
    <xdr:graphicFrame macro="">
      <xdr:nvGraphicFramePr>
        <xdr:cNvPr id="1700864" name="Chart 1">
          <a:extLst>
            <a:ext uri="{FF2B5EF4-FFF2-40B4-BE49-F238E27FC236}">
              <a16:creationId xmlns:a16="http://schemas.microsoft.com/office/drawing/2014/main" id="{00000000-0008-0000-0200-000000F4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361950</xdr:colOff>
      <xdr:row>36</xdr:row>
      <xdr:rowOff>104775</xdr:rowOff>
    </xdr:from>
    <xdr:to>
      <xdr:col>3</xdr:col>
      <xdr:colOff>114300</xdr:colOff>
      <xdr:row>44</xdr:row>
      <xdr:rowOff>66675</xdr:rowOff>
    </xdr:to>
    <xdr:pic>
      <xdr:nvPicPr>
        <xdr:cNvPr id="1700865" name="1 Imagen">
          <a:extLst>
            <a:ext uri="{FF2B5EF4-FFF2-40B4-BE49-F238E27FC236}">
              <a16:creationId xmlns:a16="http://schemas.microsoft.com/office/drawing/2014/main" id="{00000000-0008-0000-0200-000001F41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7762875"/>
          <a:ext cx="147637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762000</xdr:colOff>
      <xdr:row>34</xdr:row>
      <xdr:rowOff>171450</xdr:rowOff>
    </xdr:from>
    <xdr:to>
      <xdr:col>7</xdr:col>
      <xdr:colOff>114300</xdr:colOff>
      <xdr:row>43</xdr:row>
      <xdr:rowOff>142875</xdr:rowOff>
    </xdr:to>
    <xdr:pic>
      <xdr:nvPicPr>
        <xdr:cNvPr id="1700866" name="2 Imagen">
          <a:extLst>
            <a:ext uri="{FF2B5EF4-FFF2-40B4-BE49-F238E27FC236}">
              <a16:creationId xmlns:a16="http://schemas.microsoft.com/office/drawing/2014/main" id="{00000000-0008-0000-0200-000002F41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7429500"/>
          <a:ext cx="14573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447675</xdr:colOff>
      <xdr:row>36</xdr:row>
      <xdr:rowOff>104775</xdr:rowOff>
    </xdr:from>
    <xdr:to>
      <xdr:col>5</xdr:col>
      <xdr:colOff>438150</xdr:colOff>
      <xdr:row>44</xdr:row>
      <xdr:rowOff>38100</xdr:rowOff>
    </xdr:to>
    <xdr:pic>
      <xdr:nvPicPr>
        <xdr:cNvPr id="1700867" name="3 Imagen">
          <a:extLst>
            <a:ext uri="{FF2B5EF4-FFF2-40B4-BE49-F238E27FC236}">
              <a16:creationId xmlns:a16="http://schemas.microsoft.com/office/drawing/2014/main" id="{00000000-0008-0000-0200-000003F41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7762875"/>
          <a:ext cx="143827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4</xdr:row>
      <xdr:rowOff>209550</xdr:rowOff>
    </xdr:from>
    <xdr:to>
      <xdr:col>3</xdr:col>
      <xdr:colOff>219075</xdr:colOff>
      <xdr:row>10</xdr:row>
      <xdr:rowOff>0</xdr:rowOff>
    </xdr:to>
    <xdr:pic>
      <xdr:nvPicPr>
        <xdr:cNvPr id="1700868" name="20 Imagen">
          <a:extLst>
            <a:ext uri="{FF2B5EF4-FFF2-40B4-BE49-F238E27FC236}">
              <a16:creationId xmlns:a16="http://schemas.microsoft.com/office/drawing/2014/main" id="{00000000-0008-0000-0200-000004F41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1819275"/>
          <a:ext cx="15430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9525</xdr:rowOff>
    </xdr:from>
    <xdr:to>
      <xdr:col>1</xdr:col>
      <xdr:colOff>457200</xdr:colOff>
      <xdr:row>10</xdr:row>
      <xdr:rowOff>0</xdr:rowOff>
    </xdr:to>
    <xdr:pic>
      <xdr:nvPicPr>
        <xdr:cNvPr id="1700869" name="21 Imagen">
          <a:extLst>
            <a:ext uri="{FF2B5EF4-FFF2-40B4-BE49-F238E27FC236}">
              <a16:creationId xmlns:a16="http://schemas.microsoft.com/office/drawing/2014/main" id="{00000000-0008-0000-0200-000005F41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0"/>
          <a:ext cx="13144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38</xdr:col>
      <xdr:colOff>152400</xdr:colOff>
      <xdr:row>76</xdr:row>
      <xdr:rowOff>66675</xdr:rowOff>
    </xdr:from>
    <xdr:to>
      <xdr:col>38</xdr:col>
      <xdr:colOff>800100</xdr:colOff>
      <xdr:row>76</xdr:row>
      <xdr:rowOff>285750</xdr:rowOff>
    </xdr:to>
    <xdr:pic>
      <xdr:nvPicPr>
        <xdr:cNvPr id="1700870" name="Picture 1">
          <a:extLst>
            <a:ext uri="{FF2B5EF4-FFF2-40B4-BE49-F238E27FC236}">
              <a16:creationId xmlns:a16="http://schemas.microsoft.com/office/drawing/2014/main" id="{00000000-0008-0000-0200-000006F41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94100" y="15220950"/>
          <a:ext cx="647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161925</xdr:colOff>
          <xdr:row>74</xdr:row>
          <xdr:rowOff>247650</xdr:rowOff>
        </xdr:from>
        <xdr:to>
          <xdr:col>8</xdr:col>
          <xdr:colOff>161925</xdr:colOff>
          <xdr:row>76</xdr:row>
          <xdr:rowOff>9525</xdr:rowOff>
        </xdr:to>
        <xdr:sp macro="" textlink="">
          <xdr:nvSpPr>
            <xdr:cNvPr id="652887" name="Object 11" hidden="1">
              <a:extLst>
                <a:ext uri="{63B3BB69-23CF-44E3-9099-C40C66FF867C}">
                  <a14:compatExt spid="_x0000_s652887"/>
                </a:ext>
                <a:ext uri="{FF2B5EF4-FFF2-40B4-BE49-F238E27FC236}">
                  <a16:creationId xmlns:a16="http://schemas.microsoft.com/office/drawing/2014/main" id="{00000000-0008-0000-0200-000057F6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161925</xdr:colOff>
          <xdr:row>75</xdr:row>
          <xdr:rowOff>38100</xdr:rowOff>
        </xdr:from>
        <xdr:to>
          <xdr:col>8</xdr:col>
          <xdr:colOff>161925</xdr:colOff>
          <xdr:row>75</xdr:row>
          <xdr:rowOff>361950</xdr:rowOff>
        </xdr:to>
        <xdr:sp macro="" textlink="">
          <xdr:nvSpPr>
            <xdr:cNvPr id="652888" name="Object 1624" hidden="1">
              <a:extLst>
                <a:ext uri="{63B3BB69-23CF-44E3-9099-C40C66FF867C}">
                  <a14:compatExt spid="_x0000_s652888"/>
                </a:ext>
                <a:ext uri="{FF2B5EF4-FFF2-40B4-BE49-F238E27FC236}">
                  <a16:creationId xmlns:a16="http://schemas.microsoft.com/office/drawing/2014/main" id="{00000000-0008-0000-0200-000058F6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161925</xdr:colOff>
          <xdr:row>75</xdr:row>
          <xdr:rowOff>28575</xdr:rowOff>
        </xdr:from>
        <xdr:to>
          <xdr:col>8</xdr:col>
          <xdr:colOff>161925</xdr:colOff>
          <xdr:row>75</xdr:row>
          <xdr:rowOff>361950</xdr:rowOff>
        </xdr:to>
        <xdr:sp macro="" textlink="">
          <xdr:nvSpPr>
            <xdr:cNvPr id="652889" name="Object 1625" hidden="1">
              <a:extLst>
                <a:ext uri="{63B3BB69-23CF-44E3-9099-C40C66FF867C}">
                  <a14:compatExt spid="_x0000_s652889"/>
                </a:ext>
                <a:ext uri="{FF2B5EF4-FFF2-40B4-BE49-F238E27FC236}">
                  <a16:creationId xmlns:a16="http://schemas.microsoft.com/office/drawing/2014/main" id="{00000000-0008-0000-0200-000059F6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161925</xdr:colOff>
          <xdr:row>75</xdr:row>
          <xdr:rowOff>57150</xdr:rowOff>
        </xdr:from>
        <xdr:to>
          <xdr:col>8</xdr:col>
          <xdr:colOff>161925</xdr:colOff>
          <xdr:row>75</xdr:row>
          <xdr:rowOff>352425</xdr:rowOff>
        </xdr:to>
        <xdr:sp macro="" textlink="">
          <xdr:nvSpPr>
            <xdr:cNvPr id="652890" name="Object 1626" hidden="1">
              <a:extLst>
                <a:ext uri="{63B3BB69-23CF-44E3-9099-C40C66FF867C}">
                  <a14:compatExt spid="_x0000_s652890"/>
                </a:ext>
                <a:ext uri="{FF2B5EF4-FFF2-40B4-BE49-F238E27FC236}">
                  <a16:creationId xmlns:a16="http://schemas.microsoft.com/office/drawing/2014/main" id="{00000000-0008-0000-0200-00005AF6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161925</xdr:colOff>
          <xdr:row>75</xdr:row>
          <xdr:rowOff>0</xdr:rowOff>
        </xdr:from>
        <xdr:to>
          <xdr:col>8</xdr:col>
          <xdr:colOff>161925</xdr:colOff>
          <xdr:row>75</xdr:row>
          <xdr:rowOff>342900</xdr:rowOff>
        </xdr:to>
        <xdr:sp macro="" textlink="">
          <xdr:nvSpPr>
            <xdr:cNvPr id="652891" name="Object 1627" hidden="1">
              <a:extLst>
                <a:ext uri="{63B3BB69-23CF-44E3-9099-C40C66FF867C}">
                  <a14:compatExt spid="_x0000_s652891"/>
                </a:ext>
                <a:ext uri="{FF2B5EF4-FFF2-40B4-BE49-F238E27FC236}">
                  <a16:creationId xmlns:a16="http://schemas.microsoft.com/office/drawing/2014/main" id="{00000000-0008-0000-0200-00005BF6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161925</xdr:colOff>
          <xdr:row>75</xdr:row>
          <xdr:rowOff>47625</xdr:rowOff>
        </xdr:from>
        <xdr:to>
          <xdr:col>8</xdr:col>
          <xdr:colOff>161925</xdr:colOff>
          <xdr:row>75</xdr:row>
          <xdr:rowOff>352425</xdr:rowOff>
        </xdr:to>
        <xdr:sp macro="" textlink="">
          <xdr:nvSpPr>
            <xdr:cNvPr id="652892" name="Object 1628" hidden="1">
              <a:extLst>
                <a:ext uri="{63B3BB69-23CF-44E3-9099-C40C66FF867C}">
                  <a14:compatExt spid="_x0000_s652892"/>
                </a:ext>
                <a:ext uri="{FF2B5EF4-FFF2-40B4-BE49-F238E27FC236}">
                  <a16:creationId xmlns:a16="http://schemas.microsoft.com/office/drawing/2014/main" id="{00000000-0008-0000-0200-00005CF6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161925</xdr:colOff>
          <xdr:row>75</xdr:row>
          <xdr:rowOff>38100</xdr:rowOff>
        </xdr:from>
        <xdr:to>
          <xdr:col>8</xdr:col>
          <xdr:colOff>161925</xdr:colOff>
          <xdr:row>75</xdr:row>
          <xdr:rowOff>361950</xdr:rowOff>
        </xdr:to>
        <xdr:sp macro="" textlink="">
          <xdr:nvSpPr>
            <xdr:cNvPr id="652893" name="Object 1629" hidden="1">
              <a:extLst>
                <a:ext uri="{63B3BB69-23CF-44E3-9099-C40C66FF867C}">
                  <a14:compatExt spid="_x0000_s652893"/>
                </a:ext>
                <a:ext uri="{FF2B5EF4-FFF2-40B4-BE49-F238E27FC236}">
                  <a16:creationId xmlns:a16="http://schemas.microsoft.com/office/drawing/2014/main" id="{00000000-0008-0000-0200-00005DF6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161925</xdr:colOff>
          <xdr:row>75</xdr:row>
          <xdr:rowOff>19050</xdr:rowOff>
        </xdr:from>
        <xdr:to>
          <xdr:col>8</xdr:col>
          <xdr:colOff>161925</xdr:colOff>
          <xdr:row>75</xdr:row>
          <xdr:rowOff>295275</xdr:rowOff>
        </xdr:to>
        <xdr:sp macro="" textlink="">
          <xdr:nvSpPr>
            <xdr:cNvPr id="652894" name="Object 1630" hidden="1">
              <a:extLst>
                <a:ext uri="{63B3BB69-23CF-44E3-9099-C40C66FF867C}">
                  <a14:compatExt spid="_x0000_s652894"/>
                </a:ext>
                <a:ext uri="{FF2B5EF4-FFF2-40B4-BE49-F238E27FC236}">
                  <a16:creationId xmlns:a16="http://schemas.microsoft.com/office/drawing/2014/main" id="{00000000-0008-0000-0200-00005EF6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161925</xdr:colOff>
          <xdr:row>3</xdr:row>
          <xdr:rowOff>47625</xdr:rowOff>
        </xdr:from>
        <xdr:to>
          <xdr:col>8</xdr:col>
          <xdr:colOff>161925</xdr:colOff>
          <xdr:row>4</xdr:row>
          <xdr:rowOff>190500</xdr:rowOff>
        </xdr:to>
        <xdr:sp macro="" textlink="">
          <xdr:nvSpPr>
            <xdr:cNvPr id="653053" name="Object 6" hidden="1">
              <a:extLst>
                <a:ext uri="{63B3BB69-23CF-44E3-9099-C40C66FF867C}">
                  <a14:compatExt spid="_x0000_s653053"/>
                </a:ext>
                <a:ext uri="{FF2B5EF4-FFF2-40B4-BE49-F238E27FC236}">
                  <a16:creationId xmlns:a16="http://schemas.microsoft.com/office/drawing/2014/main" id="{00000000-0008-0000-0200-0000FDF6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190500</xdr:colOff>
          <xdr:row>0</xdr:row>
          <xdr:rowOff>9525</xdr:rowOff>
        </xdr:from>
        <xdr:to>
          <xdr:col>86</xdr:col>
          <xdr:colOff>190500</xdr:colOff>
          <xdr:row>0</xdr:row>
          <xdr:rowOff>381000</xdr:rowOff>
        </xdr:to>
        <xdr:sp macro="" textlink="">
          <xdr:nvSpPr>
            <xdr:cNvPr id="653055" name="Object 1791" hidden="1">
              <a:extLst>
                <a:ext uri="{63B3BB69-23CF-44E3-9099-C40C66FF867C}">
                  <a14:compatExt spid="_x0000_s653055"/>
                </a:ext>
                <a:ext uri="{FF2B5EF4-FFF2-40B4-BE49-F238E27FC236}">
                  <a16:creationId xmlns:a16="http://schemas.microsoft.com/office/drawing/2014/main" id="{00000000-0008-0000-0200-0000FFF6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38</xdr:col>
      <xdr:colOff>152400</xdr:colOff>
      <xdr:row>76</xdr:row>
      <xdr:rowOff>66675</xdr:rowOff>
    </xdr:from>
    <xdr:to>
      <xdr:col>38</xdr:col>
      <xdr:colOff>800100</xdr:colOff>
      <xdr:row>76</xdr:row>
      <xdr:rowOff>285750</xdr:rowOff>
    </xdr:to>
    <xdr:pic>
      <xdr:nvPicPr>
        <xdr:cNvPr id="1700871" name="Picture 1">
          <a:extLst>
            <a:ext uri="{FF2B5EF4-FFF2-40B4-BE49-F238E27FC236}">
              <a16:creationId xmlns:a16="http://schemas.microsoft.com/office/drawing/2014/main" id="{00000000-0008-0000-0200-000007F41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94100" y="15220950"/>
          <a:ext cx="647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75</xdr:row>
          <xdr:rowOff>352425</xdr:rowOff>
        </xdr:from>
        <xdr:to>
          <xdr:col>30</xdr:col>
          <xdr:colOff>676275</xdr:colOff>
          <xdr:row>77</xdr:row>
          <xdr:rowOff>57150</xdr:rowOff>
        </xdr:to>
        <xdr:sp macro="" textlink="">
          <xdr:nvSpPr>
            <xdr:cNvPr id="854261" name="Object 11" hidden="1">
              <a:extLst>
                <a:ext uri="{63B3BB69-23CF-44E3-9099-C40C66FF867C}">
                  <a14:compatExt spid="_x0000_s854261"/>
                </a:ext>
                <a:ext uri="{FF2B5EF4-FFF2-40B4-BE49-F238E27FC236}">
                  <a16:creationId xmlns:a16="http://schemas.microsoft.com/office/drawing/2014/main" id="{00000000-0008-0000-0200-0000F50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171450</xdr:colOff>
          <xdr:row>76</xdr:row>
          <xdr:rowOff>38100</xdr:rowOff>
        </xdr:from>
        <xdr:to>
          <xdr:col>31</xdr:col>
          <xdr:colOff>695325</xdr:colOff>
          <xdr:row>76</xdr:row>
          <xdr:rowOff>361950</xdr:rowOff>
        </xdr:to>
        <xdr:sp macro="" textlink="">
          <xdr:nvSpPr>
            <xdr:cNvPr id="854262" name="Object 2294" hidden="1">
              <a:extLst>
                <a:ext uri="{63B3BB69-23CF-44E3-9099-C40C66FF867C}">
                  <a14:compatExt spid="_x0000_s854262"/>
                </a:ext>
                <a:ext uri="{FF2B5EF4-FFF2-40B4-BE49-F238E27FC236}">
                  <a16:creationId xmlns:a16="http://schemas.microsoft.com/office/drawing/2014/main" id="{00000000-0008-0000-0200-0000F60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228600</xdr:colOff>
          <xdr:row>76</xdr:row>
          <xdr:rowOff>28575</xdr:rowOff>
        </xdr:from>
        <xdr:to>
          <xdr:col>32</xdr:col>
          <xdr:colOff>714375</xdr:colOff>
          <xdr:row>76</xdr:row>
          <xdr:rowOff>361950</xdr:rowOff>
        </xdr:to>
        <xdr:sp macro="" textlink="">
          <xdr:nvSpPr>
            <xdr:cNvPr id="854263" name="Object 2295" hidden="1">
              <a:extLst>
                <a:ext uri="{63B3BB69-23CF-44E3-9099-C40C66FF867C}">
                  <a14:compatExt spid="_x0000_s854263"/>
                </a:ext>
                <a:ext uri="{FF2B5EF4-FFF2-40B4-BE49-F238E27FC236}">
                  <a16:creationId xmlns:a16="http://schemas.microsoft.com/office/drawing/2014/main" id="{00000000-0008-0000-0200-0000F70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190500</xdr:colOff>
          <xdr:row>76</xdr:row>
          <xdr:rowOff>28575</xdr:rowOff>
        </xdr:from>
        <xdr:to>
          <xdr:col>33</xdr:col>
          <xdr:colOff>676275</xdr:colOff>
          <xdr:row>76</xdr:row>
          <xdr:rowOff>200025</xdr:rowOff>
        </xdr:to>
        <xdr:sp macro="" textlink="">
          <xdr:nvSpPr>
            <xdr:cNvPr id="854264" name="Object 2296" hidden="1">
              <a:extLst>
                <a:ext uri="{63B3BB69-23CF-44E3-9099-C40C66FF867C}">
                  <a14:compatExt spid="_x0000_s854264"/>
                </a:ext>
                <a:ext uri="{FF2B5EF4-FFF2-40B4-BE49-F238E27FC236}">
                  <a16:creationId xmlns:a16="http://schemas.microsoft.com/office/drawing/2014/main" id="{00000000-0008-0000-0200-0000F80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152400</xdr:colOff>
          <xdr:row>76</xdr:row>
          <xdr:rowOff>0</xdr:rowOff>
        </xdr:from>
        <xdr:to>
          <xdr:col>34</xdr:col>
          <xdr:colOff>781050</xdr:colOff>
          <xdr:row>76</xdr:row>
          <xdr:rowOff>342900</xdr:rowOff>
        </xdr:to>
        <xdr:sp macro="" textlink="">
          <xdr:nvSpPr>
            <xdr:cNvPr id="854265" name="Object 2297" hidden="1">
              <a:extLst>
                <a:ext uri="{63B3BB69-23CF-44E3-9099-C40C66FF867C}">
                  <a14:compatExt spid="_x0000_s854265"/>
                </a:ext>
                <a:ext uri="{FF2B5EF4-FFF2-40B4-BE49-F238E27FC236}">
                  <a16:creationId xmlns:a16="http://schemas.microsoft.com/office/drawing/2014/main" id="{00000000-0008-0000-0200-0000F90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247650</xdr:colOff>
          <xdr:row>76</xdr:row>
          <xdr:rowOff>47625</xdr:rowOff>
        </xdr:from>
        <xdr:to>
          <xdr:col>35</xdr:col>
          <xdr:colOff>714375</xdr:colOff>
          <xdr:row>76</xdr:row>
          <xdr:rowOff>352425</xdr:rowOff>
        </xdr:to>
        <xdr:sp macro="" textlink="">
          <xdr:nvSpPr>
            <xdr:cNvPr id="854266" name="Object 2298" hidden="1">
              <a:extLst>
                <a:ext uri="{63B3BB69-23CF-44E3-9099-C40C66FF867C}">
                  <a14:compatExt spid="_x0000_s854266"/>
                </a:ext>
                <a:ext uri="{FF2B5EF4-FFF2-40B4-BE49-F238E27FC236}">
                  <a16:creationId xmlns:a16="http://schemas.microsoft.com/office/drawing/2014/main" id="{00000000-0008-0000-0200-0000FA0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200025</xdr:colOff>
          <xdr:row>76</xdr:row>
          <xdr:rowOff>38100</xdr:rowOff>
        </xdr:from>
        <xdr:to>
          <xdr:col>36</xdr:col>
          <xdr:colOff>657225</xdr:colOff>
          <xdr:row>76</xdr:row>
          <xdr:rowOff>361950</xdr:rowOff>
        </xdr:to>
        <xdr:sp macro="" textlink="">
          <xdr:nvSpPr>
            <xdr:cNvPr id="854267" name="Object 2299" hidden="1">
              <a:extLst>
                <a:ext uri="{63B3BB69-23CF-44E3-9099-C40C66FF867C}">
                  <a14:compatExt spid="_x0000_s854267"/>
                </a:ext>
                <a:ext uri="{FF2B5EF4-FFF2-40B4-BE49-F238E27FC236}">
                  <a16:creationId xmlns:a16="http://schemas.microsoft.com/office/drawing/2014/main" id="{00000000-0008-0000-0200-0000FB0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200025</xdr:colOff>
          <xdr:row>76</xdr:row>
          <xdr:rowOff>19050</xdr:rowOff>
        </xdr:from>
        <xdr:to>
          <xdr:col>37</xdr:col>
          <xdr:colOff>762000</xdr:colOff>
          <xdr:row>76</xdr:row>
          <xdr:rowOff>295275</xdr:rowOff>
        </xdr:to>
        <xdr:sp macro="" textlink="">
          <xdr:nvSpPr>
            <xdr:cNvPr id="854268" name="Object 2300" hidden="1">
              <a:extLst>
                <a:ext uri="{63B3BB69-23CF-44E3-9099-C40C66FF867C}">
                  <a14:compatExt spid="_x0000_s854268"/>
                </a:ext>
                <a:ext uri="{FF2B5EF4-FFF2-40B4-BE49-F238E27FC236}">
                  <a16:creationId xmlns:a16="http://schemas.microsoft.com/office/drawing/2014/main" id="{00000000-0008-0000-0200-0000FC0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314325</xdr:colOff>
          <xdr:row>76</xdr:row>
          <xdr:rowOff>85725</xdr:rowOff>
        </xdr:from>
        <xdr:to>
          <xdr:col>39</xdr:col>
          <xdr:colOff>676275</xdr:colOff>
          <xdr:row>76</xdr:row>
          <xdr:rowOff>295275</xdr:rowOff>
        </xdr:to>
        <xdr:sp macro="" textlink="">
          <xdr:nvSpPr>
            <xdr:cNvPr id="854269" name="Object 2301" hidden="1">
              <a:extLst>
                <a:ext uri="{63B3BB69-23CF-44E3-9099-C40C66FF867C}">
                  <a14:compatExt spid="_x0000_s854269"/>
                </a:ext>
                <a:ext uri="{FF2B5EF4-FFF2-40B4-BE49-F238E27FC236}">
                  <a16:creationId xmlns:a16="http://schemas.microsoft.com/office/drawing/2014/main" id="{00000000-0008-0000-0200-0000FD0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>
                <a:alpha val="74001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38100</xdr:colOff>
          <xdr:row>76</xdr:row>
          <xdr:rowOff>57150</xdr:rowOff>
        </xdr:from>
        <xdr:to>
          <xdr:col>40</xdr:col>
          <xdr:colOff>1000125</xdr:colOff>
          <xdr:row>76</xdr:row>
          <xdr:rowOff>285750</xdr:rowOff>
        </xdr:to>
        <xdr:sp macro="" textlink="">
          <xdr:nvSpPr>
            <xdr:cNvPr id="854270" name="Object 2302" hidden="1">
              <a:extLst>
                <a:ext uri="{63B3BB69-23CF-44E3-9099-C40C66FF867C}">
                  <a14:compatExt spid="_x0000_s854270"/>
                </a:ext>
                <a:ext uri="{FF2B5EF4-FFF2-40B4-BE49-F238E27FC236}">
                  <a16:creationId xmlns:a16="http://schemas.microsoft.com/office/drawing/2014/main" id="{00000000-0008-0000-0200-0000FE08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9525">
              <a:solidFill>
                <a:srgbClr val="808080" mc:Ignorable="a14" a14:legacySpreadsheetColorIndex="23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104775</xdr:colOff>
      <xdr:row>0</xdr:row>
      <xdr:rowOff>123825</xdr:rowOff>
    </xdr:from>
    <xdr:to>
      <xdr:col>1</xdr:col>
      <xdr:colOff>295275</xdr:colOff>
      <xdr:row>0</xdr:row>
      <xdr:rowOff>1038225</xdr:rowOff>
    </xdr:to>
    <xdr:pic>
      <xdr:nvPicPr>
        <xdr:cNvPr id="1700872" name="18 Imagen">
          <a:extLst>
            <a:ext uri="{FF2B5EF4-FFF2-40B4-BE49-F238E27FC236}">
              <a16:creationId xmlns:a16="http://schemas.microsoft.com/office/drawing/2014/main" id="{00000000-0008-0000-0200-000008F41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10477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171450</xdr:colOff>
      <xdr:row>1</xdr:row>
      <xdr:rowOff>66675</xdr:rowOff>
    </xdr:from>
    <xdr:to>
      <xdr:col>31</xdr:col>
      <xdr:colOff>295275</xdr:colOff>
      <xdr:row>35</xdr:row>
      <xdr:rowOff>28575</xdr:rowOff>
    </xdr:to>
    <xdr:pic>
      <xdr:nvPicPr>
        <xdr:cNvPr id="762845" name="3 Imagen">
          <a:extLst>
            <a:ext uri="{FF2B5EF4-FFF2-40B4-BE49-F238E27FC236}">
              <a16:creationId xmlns:a16="http://schemas.microsoft.com/office/drawing/2014/main" id="{00000000-0008-0000-0400-0000DDA3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0" y="390525"/>
          <a:ext cx="6981825" cy="546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323850</xdr:colOff>
      <xdr:row>43</xdr:row>
      <xdr:rowOff>152400</xdr:rowOff>
    </xdr:from>
    <xdr:to>
      <xdr:col>31</xdr:col>
      <xdr:colOff>161925</xdr:colOff>
      <xdr:row>60</xdr:row>
      <xdr:rowOff>47625</xdr:rowOff>
    </xdr:to>
    <xdr:pic>
      <xdr:nvPicPr>
        <xdr:cNvPr id="762846" name="4 Imagen">
          <a:extLst>
            <a:ext uri="{FF2B5EF4-FFF2-40B4-BE49-F238E27FC236}">
              <a16:creationId xmlns:a16="http://schemas.microsoft.com/office/drawing/2014/main" id="{00000000-0008-0000-0400-0000DEA3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1200" y="6305550"/>
          <a:ext cx="6696075" cy="2647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0</xdr:row>
          <xdr:rowOff>57150</xdr:rowOff>
        </xdr:from>
        <xdr:to>
          <xdr:col>9</xdr:col>
          <xdr:colOff>438150</xdr:colOff>
          <xdr:row>0</xdr:row>
          <xdr:rowOff>247650</xdr:rowOff>
        </xdr:to>
        <xdr:sp macro="" textlink="">
          <xdr:nvSpPr>
            <xdr:cNvPr id="761944" name="Object 88" hidden="1">
              <a:extLst>
                <a:ext uri="{63B3BB69-23CF-44E3-9099-C40C66FF867C}">
                  <a14:compatExt spid="_x0000_s761944"/>
                </a:ext>
                <a:ext uri="{FF2B5EF4-FFF2-40B4-BE49-F238E27FC236}">
                  <a16:creationId xmlns:a16="http://schemas.microsoft.com/office/drawing/2014/main" id="{00000000-0008-0000-0400-000058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0</xdr:row>
          <xdr:rowOff>66675</xdr:rowOff>
        </xdr:from>
        <xdr:to>
          <xdr:col>19</xdr:col>
          <xdr:colOff>390525</xdr:colOff>
          <xdr:row>0</xdr:row>
          <xdr:rowOff>257175</xdr:rowOff>
        </xdr:to>
        <xdr:sp macro="" textlink="">
          <xdr:nvSpPr>
            <xdr:cNvPr id="761946" name="Object 90" hidden="1">
              <a:extLst>
                <a:ext uri="{63B3BB69-23CF-44E3-9099-C40C66FF867C}">
                  <a14:compatExt spid="_x0000_s761946"/>
                </a:ext>
                <a:ext uri="{FF2B5EF4-FFF2-40B4-BE49-F238E27FC236}">
                  <a16:creationId xmlns:a16="http://schemas.microsoft.com/office/drawing/2014/main" id="{00000000-0008-0000-0400-00005AA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197828</xdr:colOff>
      <xdr:row>1</xdr:row>
      <xdr:rowOff>18315</xdr:rowOff>
    </xdr:from>
    <xdr:to>
      <xdr:col>2</xdr:col>
      <xdr:colOff>493217</xdr:colOff>
      <xdr:row>5</xdr:row>
      <xdr:rowOff>58614</xdr:rowOff>
    </xdr:to>
    <xdr:pic>
      <xdr:nvPicPr>
        <xdr:cNvPr id="1702912" name="18 Imagen">
          <a:extLst>
            <a:ext uri="{FF2B5EF4-FFF2-40B4-BE49-F238E27FC236}">
              <a16:creationId xmlns:a16="http://schemas.microsoft.com/office/drawing/2014/main" id="{00000000-0008-0000-0500-000000FC1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106238"/>
          <a:ext cx="998774" cy="912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180975</xdr:colOff>
      <xdr:row>5</xdr:row>
      <xdr:rowOff>38100</xdr:rowOff>
    </xdr:from>
    <xdr:to>
      <xdr:col>17</xdr:col>
      <xdr:colOff>481927</xdr:colOff>
      <xdr:row>7</xdr:row>
      <xdr:rowOff>15780</xdr:rowOff>
    </xdr:to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8658225" y="1066800"/>
          <a:ext cx="1062952" cy="3777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es-MX"/>
        </a:p>
      </xdr:txBody>
    </xdr:sp>
    <xdr:clientData/>
  </xdr:twoCellAnchor>
  <xdr:twoCellAnchor editAs="oneCell">
    <xdr:from>
      <xdr:col>1</xdr:col>
      <xdr:colOff>409575</xdr:colOff>
      <xdr:row>68</xdr:row>
      <xdr:rowOff>466725</xdr:rowOff>
    </xdr:from>
    <xdr:to>
      <xdr:col>2</xdr:col>
      <xdr:colOff>723900</xdr:colOff>
      <xdr:row>72</xdr:row>
      <xdr:rowOff>304800</xdr:rowOff>
    </xdr:to>
    <xdr:pic>
      <xdr:nvPicPr>
        <xdr:cNvPr id="1702914" name="18 Imagen">
          <a:extLst>
            <a:ext uri="{FF2B5EF4-FFF2-40B4-BE49-F238E27FC236}">
              <a16:creationId xmlns:a16="http://schemas.microsoft.com/office/drawing/2014/main" id="{00000000-0008-0000-0500-000002FC1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0448925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74</xdr:row>
      <xdr:rowOff>0</xdr:rowOff>
    </xdr:from>
    <xdr:to>
      <xdr:col>8</xdr:col>
      <xdr:colOff>266700</xdr:colOff>
      <xdr:row>78</xdr:row>
      <xdr:rowOff>114300</xdr:rowOff>
    </xdr:to>
    <xdr:pic>
      <xdr:nvPicPr>
        <xdr:cNvPr id="1702915" name="21 Imagen">
          <a:extLst>
            <a:ext uri="{FF2B5EF4-FFF2-40B4-BE49-F238E27FC236}">
              <a16:creationId xmlns:a16="http://schemas.microsoft.com/office/drawing/2014/main" id="{00000000-0008-0000-0500-000003FC1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11715750"/>
          <a:ext cx="13144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74</xdr:row>
      <xdr:rowOff>0</xdr:rowOff>
    </xdr:from>
    <xdr:to>
      <xdr:col>11</xdr:col>
      <xdr:colOff>466725</xdr:colOff>
      <xdr:row>78</xdr:row>
      <xdr:rowOff>123825</xdr:rowOff>
    </xdr:to>
    <xdr:pic>
      <xdr:nvPicPr>
        <xdr:cNvPr id="1702916" name="20 Imagen">
          <a:extLst>
            <a:ext uri="{FF2B5EF4-FFF2-40B4-BE49-F238E27FC236}">
              <a16:creationId xmlns:a16="http://schemas.microsoft.com/office/drawing/2014/main" id="{00000000-0008-0000-0500-000004FC1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1715750"/>
          <a:ext cx="15430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152400</xdr:colOff>
      <xdr:row>89</xdr:row>
      <xdr:rowOff>0</xdr:rowOff>
    </xdr:from>
    <xdr:to>
      <xdr:col>13</xdr:col>
      <xdr:colOff>0</xdr:colOff>
      <xdr:row>100</xdr:row>
      <xdr:rowOff>123825</xdr:rowOff>
    </xdr:to>
    <xdr:graphicFrame macro="">
      <xdr:nvGraphicFramePr>
        <xdr:cNvPr id="1702917" name="Gráfico 1">
          <a:extLst>
            <a:ext uri="{FF2B5EF4-FFF2-40B4-BE49-F238E27FC236}">
              <a16:creationId xmlns:a16="http://schemas.microsoft.com/office/drawing/2014/main" id="{00000000-0008-0000-0500-000005FC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10</xdr:col>
      <xdr:colOff>36635</xdr:colOff>
      <xdr:row>1</xdr:row>
      <xdr:rowOff>43961</xdr:rowOff>
    </xdr:from>
    <xdr:to>
      <xdr:col>12</xdr:col>
      <xdr:colOff>572738</xdr:colOff>
      <xdr:row>5</xdr:row>
      <xdr:rowOff>57376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46481" y="131884"/>
          <a:ext cx="1517911" cy="885319"/>
        </a:xfrm>
        <a:prstGeom prst="rect">
          <a:avLst/>
        </a:prstGeom>
      </xdr:spPr>
    </xdr:pic>
    <xdr:clientData/>
  </xdr:twoCellAnchor>
  <xdr:twoCellAnchor editAs="oneCell">
    <xdr:from>
      <xdr:col>9</xdr:col>
      <xdr:colOff>212480</xdr:colOff>
      <xdr:row>59</xdr:row>
      <xdr:rowOff>65942</xdr:rowOff>
    </xdr:from>
    <xdr:to>
      <xdr:col>10</xdr:col>
      <xdr:colOff>457408</xdr:colOff>
      <xdr:row>67</xdr:row>
      <xdr:rowOff>24974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50826" y="8997461"/>
          <a:ext cx="816428" cy="962821"/>
        </a:xfrm>
        <a:prstGeom prst="rect">
          <a:avLst/>
        </a:prstGeom>
      </xdr:spPr>
    </xdr:pic>
    <xdr:clientData/>
  </xdr:twoCellAnchor>
  <xdr:twoCellAnchor editAs="oneCell">
    <xdr:from>
      <xdr:col>2</xdr:col>
      <xdr:colOff>564172</xdr:colOff>
      <xdr:row>58</xdr:row>
      <xdr:rowOff>58615</xdr:rowOff>
    </xdr:from>
    <xdr:to>
      <xdr:col>5</xdr:col>
      <xdr:colOff>201929</xdr:colOff>
      <xdr:row>66</xdr:row>
      <xdr:rowOff>15777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9698" b="19483" l="46294" r="66765">
                      <a14:backgroundMark x1="54235" y1="12759" x2="54235" y2="13750"/>
                      <a14:backgroundMark x1="53000" y1="17414" x2="53000" y2="17414"/>
                      <a14:backgroundMark x1="51647" y1="18448" x2="51647" y2="18448"/>
                      <a14:backgroundMark x1="51000" y1="18922" x2="53118" y2="1741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3784" t="8590" r="30678" b="79959"/>
        <a:stretch/>
      </xdr:blipFill>
      <xdr:spPr bwMode="auto">
        <a:xfrm>
          <a:off x="1450730" y="8828942"/>
          <a:ext cx="1630680" cy="9975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SHIBA/Documents/DOC.DIEGO/HOJAS%20DE%20REGISTRO%20(TABLET)/ACREDITACION/HOJA%20DE%20REGISTRO%20BASCULAS%20%20(Digital)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_de_registro"/>
      <sheetName val="Puntos_de_medición"/>
    </sheetNames>
    <sheetDataSet>
      <sheetData sheetId="0"/>
      <sheetData sheetId="1">
        <row r="1">
          <cell r="A1" t="str">
            <v>Capacidad (g)</v>
          </cell>
          <cell r="B1" t="str">
            <v>Puntos de medición</v>
          </cell>
          <cell r="G1" t="str">
            <v>Excentricidad</v>
          </cell>
          <cell r="H1" t="str">
            <v>Repetibilidad</v>
          </cell>
        </row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</row>
        <row r="3">
          <cell r="A3">
            <v>50</v>
          </cell>
          <cell r="B3">
            <v>5</v>
          </cell>
          <cell r="C3">
            <v>10</v>
          </cell>
          <cell r="D3">
            <v>20</v>
          </cell>
          <cell r="E3">
            <v>40</v>
          </cell>
          <cell r="F3">
            <v>50</v>
          </cell>
          <cell r="G3">
            <v>20</v>
          </cell>
          <cell r="H3">
            <v>20</v>
          </cell>
        </row>
        <row r="4">
          <cell r="A4">
            <v>100</v>
          </cell>
          <cell r="B4">
            <v>10</v>
          </cell>
          <cell r="C4">
            <v>20</v>
          </cell>
          <cell r="D4">
            <v>40</v>
          </cell>
          <cell r="E4">
            <v>50</v>
          </cell>
          <cell r="F4">
            <v>100</v>
          </cell>
          <cell r="G4">
            <v>40</v>
          </cell>
          <cell r="H4">
            <v>40</v>
          </cell>
        </row>
        <row r="5">
          <cell r="A5">
            <v>200</v>
          </cell>
          <cell r="B5">
            <v>20</v>
          </cell>
          <cell r="C5">
            <v>50</v>
          </cell>
          <cell r="D5">
            <v>100</v>
          </cell>
          <cell r="E5">
            <v>150</v>
          </cell>
          <cell r="F5">
            <v>200</v>
          </cell>
          <cell r="G5">
            <v>100</v>
          </cell>
          <cell r="H5">
            <v>100</v>
          </cell>
        </row>
        <row r="6">
          <cell r="A6">
            <v>220</v>
          </cell>
          <cell r="B6">
            <v>20</v>
          </cell>
          <cell r="C6">
            <v>50</v>
          </cell>
          <cell r="D6">
            <v>100</v>
          </cell>
          <cell r="E6">
            <v>150</v>
          </cell>
          <cell r="F6">
            <v>220</v>
          </cell>
          <cell r="G6">
            <v>100</v>
          </cell>
          <cell r="H6">
            <v>100</v>
          </cell>
        </row>
        <row r="7">
          <cell r="A7">
            <v>300</v>
          </cell>
          <cell r="B7">
            <v>20</v>
          </cell>
          <cell r="C7">
            <v>50</v>
          </cell>
          <cell r="D7">
            <v>100</v>
          </cell>
          <cell r="E7">
            <v>200</v>
          </cell>
          <cell r="F7">
            <v>300</v>
          </cell>
          <cell r="G7">
            <v>150</v>
          </cell>
          <cell r="H7">
            <v>150</v>
          </cell>
        </row>
        <row r="8">
          <cell r="A8">
            <v>400</v>
          </cell>
          <cell r="B8">
            <v>50</v>
          </cell>
          <cell r="C8">
            <v>100</v>
          </cell>
          <cell r="D8">
            <v>200</v>
          </cell>
          <cell r="E8">
            <v>300</v>
          </cell>
          <cell r="F8">
            <v>400</v>
          </cell>
          <cell r="G8">
            <v>200</v>
          </cell>
          <cell r="H8">
            <v>200</v>
          </cell>
        </row>
        <row r="9">
          <cell r="A9">
            <v>500</v>
          </cell>
          <cell r="B9">
            <v>50</v>
          </cell>
          <cell r="C9">
            <v>100</v>
          </cell>
          <cell r="D9">
            <v>200</v>
          </cell>
          <cell r="E9">
            <v>300</v>
          </cell>
          <cell r="F9">
            <v>500</v>
          </cell>
          <cell r="G9">
            <v>250</v>
          </cell>
          <cell r="H9">
            <v>250</v>
          </cell>
        </row>
        <row r="10">
          <cell r="A10">
            <v>600</v>
          </cell>
          <cell r="B10">
            <v>50</v>
          </cell>
          <cell r="C10">
            <v>100</v>
          </cell>
          <cell r="D10">
            <v>300</v>
          </cell>
          <cell r="E10">
            <v>500</v>
          </cell>
          <cell r="F10">
            <v>600</v>
          </cell>
          <cell r="G10">
            <v>300</v>
          </cell>
          <cell r="H10">
            <v>300</v>
          </cell>
        </row>
        <row r="11">
          <cell r="A11">
            <v>800</v>
          </cell>
          <cell r="B11">
            <v>100</v>
          </cell>
          <cell r="C11">
            <v>300</v>
          </cell>
          <cell r="D11">
            <v>500</v>
          </cell>
          <cell r="E11">
            <v>600</v>
          </cell>
          <cell r="F11">
            <v>800</v>
          </cell>
          <cell r="G11">
            <v>400</v>
          </cell>
          <cell r="H11">
            <v>400</v>
          </cell>
        </row>
        <row r="12">
          <cell r="A12">
            <v>1000</v>
          </cell>
          <cell r="B12">
            <v>100</v>
          </cell>
          <cell r="C12">
            <v>200</v>
          </cell>
          <cell r="D12">
            <v>400</v>
          </cell>
          <cell r="E12">
            <v>500</v>
          </cell>
          <cell r="F12">
            <v>1000</v>
          </cell>
          <cell r="G12">
            <v>500</v>
          </cell>
          <cell r="H12">
            <v>500</v>
          </cell>
        </row>
        <row r="13">
          <cell r="A13">
            <v>2000</v>
          </cell>
          <cell r="B13">
            <v>100</v>
          </cell>
          <cell r="C13">
            <v>200</v>
          </cell>
          <cell r="D13">
            <v>500</v>
          </cell>
          <cell r="E13">
            <v>1000</v>
          </cell>
          <cell r="F13">
            <v>2000</v>
          </cell>
          <cell r="G13">
            <v>1000</v>
          </cell>
          <cell r="H13">
            <v>1000</v>
          </cell>
        </row>
        <row r="14">
          <cell r="A14">
            <v>3000</v>
          </cell>
          <cell r="B14">
            <v>100</v>
          </cell>
          <cell r="C14">
            <v>500</v>
          </cell>
          <cell r="D14">
            <v>1000</v>
          </cell>
          <cell r="E14">
            <v>2000</v>
          </cell>
          <cell r="F14">
            <v>3000</v>
          </cell>
          <cell r="G14">
            <v>1500</v>
          </cell>
          <cell r="H14">
            <v>1500</v>
          </cell>
        </row>
        <row r="15">
          <cell r="A15">
            <v>4000</v>
          </cell>
          <cell r="B15">
            <v>500</v>
          </cell>
          <cell r="C15">
            <v>1000</v>
          </cell>
          <cell r="D15">
            <v>2000</v>
          </cell>
          <cell r="E15">
            <v>3000</v>
          </cell>
          <cell r="F15">
            <v>4000</v>
          </cell>
          <cell r="G15">
            <v>2000</v>
          </cell>
          <cell r="H15">
            <v>2000</v>
          </cell>
        </row>
        <row r="16">
          <cell r="A16">
            <v>5000</v>
          </cell>
          <cell r="B16">
            <v>500</v>
          </cell>
          <cell r="C16">
            <v>1000</v>
          </cell>
          <cell r="D16">
            <v>2000</v>
          </cell>
          <cell r="E16">
            <v>3000</v>
          </cell>
          <cell r="F16">
            <v>5000</v>
          </cell>
          <cell r="G16">
            <v>2500</v>
          </cell>
          <cell r="H16">
            <v>2500</v>
          </cell>
        </row>
        <row r="17">
          <cell r="A17">
            <v>6000</v>
          </cell>
          <cell r="B17">
            <v>500</v>
          </cell>
          <cell r="C17">
            <v>1000</v>
          </cell>
          <cell r="D17">
            <v>2000</v>
          </cell>
          <cell r="E17">
            <v>5000</v>
          </cell>
          <cell r="F17">
            <v>6000</v>
          </cell>
          <cell r="G17">
            <v>3000</v>
          </cell>
          <cell r="H17">
            <v>3000</v>
          </cell>
        </row>
        <row r="18">
          <cell r="A18">
            <v>7000</v>
          </cell>
          <cell r="B18">
            <v>500</v>
          </cell>
          <cell r="C18">
            <v>1000</v>
          </cell>
          <cell r="D18">
            <v>3000</v>
          </cell>
          <cell r="E18">
            <v>5000</v>
          </cell>
          <cell r="F18">
            <v>7000</v>
          </cell>
          <cell r="G18">
            <v>3500</v>
          </cell>
          <cell r="H18">
            <v>3500</v>
          </cell>
        </row>
        <row r="19">
          <cell r="A19">
            <v>8000</v>
          </cell>
          <cell r="B19">
            <v>500</v>
          </cell>
          <cell r="C19">
            <v>1000</v>
          </cell>
          <cell r="D19">
            <v>2000</v>
          </cell>
          <cell r="E19">
            <v>5000</v>
          </cell>
          <cell r="F19">
            <v>8000</v>
          </cell>
          <cell r="G19">
            <v>4000</v>
          </cell>
          <cell r="H19">
            <v>4000</v>
          </cell>
        </row>
        <row r="20">
          <cell r="A20">
            <v>10000</v>
          </cell>
          <cell r="B20">
            <v>1000</v>
          </cell>
          <cell r="C20">
            <v>2000</v>
          </cell>
          <cell r="D20">
            <v>5000</v>
          </cell>
          <cell r="E20">
            <v>7000</v>
          </cell>
          <cell r="F20">
            <v>10000</v>
          </cell>
          <cell r="G20">
            <v>5000</v>
          </cell>
          <cell r="H20">
            <v>5000</v>
          </cell>
        </row>
        <row r="21">
          <cell r="A21">
            <v>12000</v>
          </cell>
          <cell r="B21">
            <v>1000</v>
          </cell>
          <cell r="C21">
            <v>2000</v>
          </cell>
          <cell r="D21">
            <v>5000</v>
          </cell>
          <cell r="E21">
            <v>10000</v>
          </cell>
          <cell r="F21">
            <v>12000</v>
          </cell>
          <cell r="G21">
            <v>6000</v>
          </cell>
          <cell r="H21">
            <v>6000</v>
          </cell>
        </row>
        <row r="22">
          <cell r="A22">
            <v>15000</v>
          </cell>
          <cell r="B22">
            <v>1000</v>
          </cell>
          <cell r="C22">
            <v>2000</v>
          </cell>
          <cell r="D22">
            <v>5000</v>
          </cell>
          <cell r="E22">
            <v>10000</v>
          </cell>
          <cell r="F22">
            <v>15000</v>
          </cell>
          <cell r="G22">
            <v>7500</v>
          </cell>
          <cell r="H22">
            <v>7500</v>
          </cell>
        </row>
        <row r="23">
          <cell r="A23">
            <v>20000</v>
          </cell>
          <cell r="B23">
            <v>1000</v>
          </cell>
          <cell r="C23">
            <v>2000</v>
          </cell>
          <cell r="D23">
            <v>5000</v>
          </cell>
          <cell r="E23">
            <v>10000</v>
          </cell>
          <cell r="F23">
            <v>20000</v>
          </cell>
          <cell r="G23">
            <v>10000</v>
          </cell>
          <cell r="H23">
            <v>10000</v>
          </cell>
        </row>
        <row r="24">
          <cell r="A24">
            <v>30000</v>
          </cell>
          <cell r="B24">
            <v>2000</v>
          </cell>
          <cell r="C24">
            <v>5000</v>
          </cell>
          <cell r="D24">
            <v>10000</v>
          </cell>
          <cell r="E24">
            <v>20000</v>
          </cell>
          <cell r="F24">
            <v>30000</v>
          </cell>
          <cell r="G24">
            <v>15000</v>
          </cell>
          <cell r="H24">
            <v>15000</v>
          </cell>
        </row>
        <row r="25">
          <cell r="A25">
            <v>40000</v>
          </cell>
          <cell r="B25">
            <v>5000</v>
          </cell>
          <cell r="C25">
            <v>10000</v>
          </cell>
          <cell r="D25">
            <v>20000</v>
          </cell>
          <cell r="E25">
            <v>30000</v>
          </cell>
          <cell r="F25">
            <v>40000</v>
          </cell>
          <cell r="G25">
            <v>20000</v>
          </cell>
          <cell r="H25">
            <v>20000</v>
          </cell>
        </row>
        <row r="26">
          <cell r="A26">
            <v>50000</v>
          </cell>
          <cell r="B26">
            <v>10000</v>
          </cell>
          <cell r="C26">
            <v>20000</v>
          </cell>
          <cell r="D26">
            <v>30000</v>
          </cell>
          <cell r="E26">
            <v>40000</v>
          </cell>
          <cell r="F26">
            <v>50000</v>
          </cell>
          <cell r="G26">
            <v>25000</v>
          </cell>
          <cell r="H26">
            <v>25000</v>
          </cell>
        </row>
        <row r="27">
          <cell r="A27">
            <v>100000</v>
          </cell>
          <cell r="B27">
            <v>20000</v>
          </cell>
          <cell r="C27">
            <v>40000</v>
          </cell>
          <cell r="D27">
            <v>60000</v>
          </cell>
          <cell r="E27">
            <v>80000</v>
          </cell>
          <cell r="F27">
            <v>100000</v>
          </cell>
          <cell r="G27">
            <v>50000</v>
          </cell>
          <cell r="H27">
            <v>50000</v>
          </cell>
        </row>
        <row r="28">
          <cell r="A28">
            <v>140000</v>
          </cell>
          <cell r="B28">
            <v>40000</v>
          </cell>
          <cell r="C28">
            <v>60000</v>
          </cell>
          <cell r="D28">
            <v>80000</v>
          </cell>
          <cell r="E28">
            <v>120000</v>
          </cell>
          <cell r="F28">
            <v>140000</v>
          </cell>
          <cell r="G28">
            <v>70000</v>
          </cell>
          <cell r="H28">
            <v>70000</v>
          </cell>
        </row>
        <row r="29">
          <cell r="A29">
            <v>150000</v>
          </cell>
          <cell r="B29">
            <v>20000</v>
          </cell>
          <cell r="C29">
            <v>50000</v>
          </cell>
          <cell r="D29">
            <v>80000</v>
          </cell>
          <cell r="E29">
            <v>120000</v>
          </cell>
          <cell r="F29">
            <v>150000</v>
          </cell>
          <cell r="G29">
            <v>70000</v>
          </cell>
          <cell r="H29">
            <v>70000</v>
          </cell>
        </row>
        <row r="30">
          <cell r="A30">
            <v>200000</v>
          </cell>
          <cell r="B30">
            <v>20000</v>
          </cell>
          <cell r="C30">
            <v>60000</v>
          </cell>
          <cell r="D30">
            <v>100000</v>
          </cell>
          <cell r="E30">
            <v>160000</v>
          </cell>
          <cell r="F30">
            <v>200000</v>
          </cell>
          <cell r="G30">
            <v>100000</v>
          </cell>
          <cell r="H30">
            <v>100000</v>
          </cell>
        </row>
        <row r="31">
          <cell r="A31">
            <v>300000</v>
          </cell>
          <cell r="B31">
            <v>40000</v>
          </cell>
          <cell r="C31">
            <v>100000</v>
          </cell>
          <cell r="D31">
            <v>160000</v>
          </cell>
          <cell r="E31">
            <v>200000</v>
          </cell>
          <cell r="F31">
            <v>300000</v>
          </cell>
          <cell r="G31">
            <v>150000</v>
          </cell>
          <cell r="H31">
            <v>150000</v>
          </cell>
        </row>
        <row r="32">
          <cell r="A32">
            <v>400000</v>
          </cell>
          <cell r="B32">
            <v>40000</v>
          </cell>
          <cell r="C32">
            <v>100000</v>
          </cell>
          <cell r="D32">
            <v>200000</v>
          </cell>
          <cell r="E32">
            <v>300000</v>
          </cell>
          <cell r="F32">
            <v>400000</v>
          </cell>
          <cell r="G32">
            <v>200000</v>
          </cell>
          <cell r="H32">
            <v>200000</v>
          </cell>
        </row>
        <row r="33">
          <cell r="A33">
            <v>500000</v>
          </cell>
          <cell r="B33">
            <v>100000</v>
          </cell>
          <cell r="C33">
            <v>200000</v>
          </cell>
          <cell r="D33">
            <v>300000</v>
          </cell>
          <cell r="E33">
            <v>400000</v>
          </cell>
          <cell r="F33">
            <v>500000</v>
          </cell>
          <cell r="G33">
            <v>200000</v>
          </cell>
          <cell r="H33">
            <v>200000</v>
          </cell>
        </row>
        <row r="34">
          <cell r="A34">
            <v>600000</v>
          </cell>
          <cell r="B34">
            <v>100000</v>
          </cell>
          <cell r="C34">
            <v>300000</v>
          </cell>
          <cell r="D34">
            <v>400000</v>
          </cell>
          <cell r="E34">
            <v>500000</v>
          </cell>
          <cell r="F34">
            <v>600000</v>
          </cell>
          <cell r="G34">
            <v>300000</v>
          </cell>
          <cell r="H34">
            <v>300000</v>
          </cell>
        </row>
        <row r="35">
          <cell r="A35">
            <v>800000</v>
          </cell>
          <cell r="B35">
            <v>100000</v>
          </cell>
          <cell r="C35">
            <v>300000</v>
          </cell>
          <cell r="D35">
            <v>400000</v>
          </cell>
          <cell r="E35">
            <v>600000</v>
          </cell>
          <cell r="F35">
            <v>800000</v>
          </cell>
          <cell r="G35">
            <v>400000</v>
          </cell>
          <cell r="H35">
            <v>400000</v>
          </cell>
        </row>
        <row r="36">
          <cell r="A36">
            <v>1000000</v>
          </cell>
          <cell r="B36">
            <v>200000</v>
          </cell>
          <cell r="C36">
            <v>400000</v>
          </cell>
          <cell r="D36">
            <v>600000</v>
          </cell>
          <cell r="E36">
            <v>800000</v>
          </cell>
          <cell r="F36">
            <v>1000000</v>
          </cell>
          <cell r="G36">
            <v>500000</v>
          </cell>
          <cell r="H36">
            <v>500000</v>
          </cell>
        </row>
        <row r="37">
          <cell r="A37">
            <v>2000000</v>
          </cell>
          <cell r="B37">
            <v>100000</v>
          </cell>
          <cell r="C37">
            <v>300000</v>
          </cell>
          <cell r="D37">
            <v>500000</v>
          </cell>
          <cell r="E37">
            <v>1000000</v>
          </cell>
          <cell r="F37">
            <v>2000000</v>
          </cell>
          <cell r="G37">
            <v>500000</v>
          </cell>
          <cell r="H37">
            <v>500000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w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3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17.emf"/><Relationship Id="rId34" Type="http://schemas.openxmlformats.org/officeDocument/2006/relationships/oleObject" Target="../embeddings/oleObject20.bin"/><Relationship Id="rId7" Type="http://schemas.openxmlformats.org/officeDocument/2006/relationships/image" Target="../media/image10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15.wmf"/><Relationship Id="rId25" Type="http://schemas.openxmlformats.org/officeDocument/2006/relationships/oleObject" Target="../embeddings/oleObject12.bin"/><Relationship Id="rId33" Type="http://schemas.openxmlformats.org/officeDocument/2006/relationships/image" Target="../media/image19.emf"/><Relationship Id="rId2" Type="http://schemas.openxmlformats.org/officeDocument/2006/relationships/drawing" Target="../drawings/drawing3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oleObject" Target="../embeddings/oleObject16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12.w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9.bin"/><Relationship Id="rId5" Type="http://schemas.openxmlformats.org/officeDocument/2006/relationships/image" Target="../media/image9.wmf"/><Relationship Id="rId15" Type="http://schemas.openxmlformats.org/officeDocument/2006/relationships/image" Target="../media/image14.wmf"/><Relationship Id="rId23" Type="http://schemas.openxmlformats.org/officeDocument/2006/relationships/image" Target="../media/image18.emf"/><Relationship Id="rId28" Type="http://schemas.openxmlformats.org/officeDocument/2006/relationships/oleObject" Target="../embeddings/oleObject15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16.wmf"/><Relationship Id="rId31" Type="http://schemas.openxmlformats.org/officeDocument/2006/relationships/oleObject" Target="../embeddings/oleObject18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11.w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oleObject" Target="../embeddings/oleObject14.bin"/><Relationship Id="rId30" Type="http://schemas.openxmlformats.org/officeDocument/2006/relationships/oleObject" Target="../embeddings/oleObject17.bin"/><Relationship Id="rId35" Type="http://schemas.openxmlformats.org/officeDocument/2006/relationships/image" Target="../media/image20.emf"/><Relationship Id="rId8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22.bin"/><Relationship Id="rId5" Type="http://schemas.openxmlformats.org/officeDocument/2006/relationships/image" Target="../media/image27.emf"/><Relationship Id="rId4" Type="http://schemas.openxmlformats.org/officeDocument/2006/relationships/oleObject" Target="../embeddings/oleObject2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8"/>
  <sheetViews>
    <sheetView tabSelected="1" topLeftCell="A22" workbookViewId="0">
      <selection activeCell="Q58" sqref="Q58"/>
    </sheetView>
  </sheetViews>
  <sheetFormatPr baseColWidth="10" defaultRowHeight="15"/>
  <cols>
    <col min="1" max="10" width="6.28515625" style="684" customWidth="1"/>
    <col min="11" max="19" width="6.28515625" style="687" customWidth="1"/>
    <col min="20" max="24" width="6.140625" style="687" customWidth="1"/>
    <col min="25" max="1024" width="15.28515625" style="687" customWidth="1"/>
    <col min="1025" max="1025" width="12.5703125" style="688" customWidth="1"/>
    <col min="1026" max="16384" width="11.42578125" style="688"/>
  </cols>
  <sheetData>
    <row r="1" spans="1:23" ht="18.75">
      <c r="B1" s="714" t="s">
        <v>392</v>
      </c>
      <c r="C1" s="714"/>
      <c r="D1" s="714"/>
      <c r="E1" s="714"/>
      <c r="F1" s="714"/>
      <c r="G1" s="714"/>
      <c r="H1" s="714"/>
      <c r="I1" s="714"/>
      <c r="J1" s="714"/>
      <c r="K1" s="714"/>
      <c r="L1" s="714"/>
      <c r="M1" s="714"/>
      <c r="N1" s="714"/>
      <c r="O1" s="714"/>
      <c r="P1" s="714"/>
      <c r="Q1" s="714"/>
      <c r="R1" s="714"/>
      <c r="S1" s="686"/>
      <c r="T1" s="686"/>
      <c r="U1" s="686"/>
      <c r="V1" s="686"/>
    </row>
    <row r="2" spans="1:23" ht="11.25" customHeight="1"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685"/>
      <c r="R2" s="686"/>
      <c r="S2" s="686"/>
      <c r="T2" s="686"/>
      <c r="U2" s="686"/>
      <c r="V2" s="686"/>
    </row>
    <row r="3" spans="1:23" ht="11.25" customHeight="1"/>
    <row r="4" spans="1:23" ht="13.5" customHeight="1">
      <c r="E4" s="710" t="s">
        <v>391</v>
      </c>
      <c r="F4" s="710"/>
      <c r="G4" s="715"/>
      <c r="H4" s="715"/>
      <c r="I4" s="715"/>
      <c r="J4" s="710" t="s">
        <v>390</v>
      </c>
      <c r="K4" s="710"/>
      <c r="L4" s="706"/>
      <c r="M4" s="706"/>
      <c r="N4" s="706"/>
      <c r="O4" s="710" t="s">
        <v>389</v>
      </c>
      <c r="P4" s="710"/>
      <c r="Q4" s="716"/>
      <c r="R4" s="716"/>
      <c r="S4" s="716"/>
      <c r="T4" s="689"/>
      <c r="U4" s="689"/>
      <c r="V4" s="689"/>
      <c r="W4" s="689"/>
    </row>
    <row r="5" spans="1:23" ht="11.25" customHeight="1">
      <c r="D5" s="690"/>
      <c r="E5" s="701"/>
      <c r="F5" s="701"/>
      <c r="I5" s="691"/>
      <c r="J5" s="691"/>
      <c r="K5" s="689"/>
      <c r="L5" s="689"/>
      <c r="M5" s="689"/>
      <c r="N5" s="689"/>
      <c r="O5" s="689"/>
      <c r="P5" s="689"/>
      <c r="Q5" s="689"/>
      <c r="R5" s="689"/>
      <c r="S5" s="689"/>
      <c r="T5" s="689"/>
      <c r="U5" s="689"/>
      <c r="V5" s="689"/>
      <c r="W5" s="689"/>
    </row>
    <row r="6" spans="1:23" ht="13.5" customHeight="1">
      <c r="E6" s="710" t="s">
        <v>388</v>
      </c>
      <c r="F6" s="710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  <c r="T6" s="689"/>
      <c r="U6" s="689"/>
      <c r="V6" s="689"/>
      <c r="W6" s="689"/>
    </row>
    <row r="7" spans="1:23" ht="13.5" customHeight="1">
      <c r="E7" s="710" t="s">
        <v>387</v>
      </c>
      <c r="F7" s="710"/>
      <c r="G7" s="706"/>
      <c r="H7" s="706"/>
      <c r="I7" s="706"/>
      <c r="J7" s="706"/>
      <c r="K7" s="706"/>
      <c r="L7" s="706"/>
      <c r="M7" s="710" t="s">
        <v>386</v>
      </c>
      <c r="N7" s="710"/>
      <c r="O7" s="710"/>
      <c r="P7" s="706"/>
      <c r="Q7" s="706"/>
      <c r="R7" s="706"/>
      <c r="S7" s="706"/>
      <c r="T7" s="689"/>
      <c r="U7" s="689"/>
      <c r="V7" s="689"/>
      <c r="W7" s="689"/>
    </row>
    <row r="8" spans="1:23" ht="13.5" customHeight="1">
      <c r="E8" s="710" t="s">
        <v>178</v>
      </c>
      <c r="F8" s="710"/>
      <c r="G8" s="706"/>
      <c r="H8" s="706"/>
      <c r="I8" s="706"/>
      <c r="J8" s="706"/>
      <c r="K8" s="706"/>
      <c r="L8" s="706"/>
      <c r="M8" s="710" t="s">
        <v>385</v>
      </c>
      <c r="N8" s="710"/>
      <c r="O8" s="710"/>
      <c r="P8" s="706"/>
      <c r="Q8" s="706"/>
      <c r="R8" s="706"/>
      <c r="S8" s="706"/>
      <c r="T8" s="689"/>
      <c r="U8" s="689"/>
      <c r="V8" s="689"/>
      <c r="W8" s="689"/>
    </row>
    <row r="9" spans="1:23" ht="13.5" customHeight="1">
      <c r="E9" s="710" t="s">
        <v>54</v>
      </c>
      <c r="F9" s="710"/>
      <c r="G9" s="706"/>
      <c r="H9" s="706"/>
      <c r="I9" s="706"/>
      <c r="J9" s="706"/>
      <c r="K9" s="706"/>
      <c r="L9" s="706"/>
      <c r="M9" s="710" t="s">
        <v>384</v>
      </c>
      <c r="N9" s="710"/>
      <c r="O9" s="710"/>
      <c r="P9" s="706"/>
      <c r="Q9" s="706"/>
      <c r="R9" s="706"/>
      <c r="S9" s="706"/>
      <c r="T9" s="689"/>
      <c r="U9" s="689"/>
      <c r="V9" s="689"/>
      <c r="W9" s="689"/>
    </row>
    <row r="10" spans="1:23" ht="13.5" customHeight="1">
      <c r="E10" s="710" t="s">
        <v>383</v>
      </c>
      <c r="F10" s="710"/>
      <c r="G10" s="692"/>
      <c r="H10" s="712"/>
      <c r="I10" s="712"/>
      <c r="J10" s="712"/>
      <c r="K10" s="692"/>
      <c r="L10" s="712"/>
      <c r="M10" s="712"/>
      <c r="N10" s="712"/>
      <c r="O10" s="692"/>
      <c r="P10" s="712"/>
      <c r="Q10" s="712"/>
      <c r="R10" s="712"/>
      <c r="S10" s="693"/>
    </row>
    <row r="11" spans="1:23" ht="13.5" customHeight="1">
      <c r="E11" s="710"/>
      <c r="F11" s="710"/>
      <c r="G11" s="694"/>
      <c r="H11" s="713"/>
      <c r="I11" s="713"/>
      <c r="J11" s="713"/>
      <c r="K11" s="694"/>
      <c r="L11" s="713"/>
      <c r="M11" s="713"/>
      <c r="N11" s="713"/>
      <c r="O11" s="694"/>
      <c r="P11" s="713"/>
      <c r="Q11" s="713"/>
      <c r="R11" s="713"/>
      <c r="S11" s="696"/>
    </row>
    <row r="12" spans="1:23" ht="18.75" customHeight="1">
      <c r="E12" s="697"/>
      <c r="F12" s="697"/>
      <c r="G12" s="698"/>
      <c r="H12" s="695"/>
      <c r="I12" s="695"/>
      <c r="J12" s="695"/>
      <c r="K12" s="695"/>
      <c r="L12" s="695"/>
      <c r="M12" s="695"/>
      <c r="N12" s="695"/>
      <c r="O12" s="695"/>
      <c r="P12" s="698"/>
      <c r="Q12" s="698"/>
      <c r="R12" s="698"/>
      <c r="S12" s="698"/>
    </row>
    <row r="13" spans="1:23" ht="13.5" customHeight="1">
      <c r="A13" s="699"/>
      <c r="B13" s="699"/>
      <c r="C13" s="699"/>
      <c r="D13" s="699"/>
      <c r="E13" s="699"/>
      <c r="F13" s="689"/>
      <c r="G13" s="689"/>
      <c r="H13" s="711" t="s">
        <v>382</v>
      </c>
      <c r="I13" s="711"/>
      <c r="J13" s="711" t="s">
        <v>357</v>
      </c>
      <c r="K13" s="711"/>
      <c r="L13" s="711" t="s">
        <v>381</v>
      </c>
      <c r="M13" s="711"/>
      <c r="N13" s="711" t="s">
        <v>23</v>
      </c>
      <c r="O13" s="711"/>
    </row>
    <row r="14" spans="1:23" ht="13.5" customHeight="1">
      <c r="A14" s="689"/>
      <c r="B14" s="689"/>
      <c r="C14" s="689"/>
      <c r="D14" s="689"/>
      <c r="E14" s="689"/>
      <c r="F14" s="702" t="s">
        <v>380</v>
      </c>
      <c r="G14" s="702"/>
      <c r="H14" s="706"/>
      <c r="I14" s="706"/>
      <c r="J14" s="706"/>
      <c r="K14" s="706"/>
      <c r="L14" s="706"/>
      <c r="M14" s="706"/>
      <c r="N14" s="706"/>
      <c r="O14" s="706"/>
    </row>
    <row r="15" spans="1:23" ht="13.5" customHeight="1">
      <c r="A15" s="689"/>
      <c r="B15" s="689"/>
      <c r="C15" s="689"/>
      <c r="D15" s="689"/>
      <c r="E15" s="689"/>
      <c r="F15" s="702" t="s">
        <v>247</v>
      </c>
      <c r="G15" s="702"/>
      <c r="H15" s="706"/>
      <c r="I15" s="706"/>
      <c r="J15" s="706"/>
      <c r="K15" s="706"/>
      <c r="L15" s="706"/>
      <c r="M15" s="706"/>
      <c r="N15" s="706"/>
      <c r="O15" s="706"/>
    </row>
    <row r="16" spans="1:23" ht="18.75" customHeight="1">
      <c r="A16" s="689"/>
      <c r="B16" s="689"/>
      <c r="C16" s="689"/>
      <c r="D16" s="689"/>
      <c r="E16" s="689"/>
      <c r="F16" s="689"/>
      <c r="G16" s="689"/>
      <c r="H16" s="689"/>
    </row>
    <row r="17" spans="1:24" ht="13.5" customHeight="1">
      <c r="A17" s="689"/>
      <c r="B17" s="709" t="s">
        <v>396</v>
      </c>
      <c r="C17" s="709"/>
      <c r="D17" s="709"/>
      <c r="E17" s="709"/>
      <c r="F17" s="709"/>
      <c r="G17" s="709"/>
      <c r="H17" s="709"/>
      <c r="I17" s="709"/>
      <c r="J17" s="709"/>
      <c r="K17" s="709"/>
      <c r="L17" s="709"/>
      <c r="M17" s="709"/>
      <c r="N17" s="709"/>
      <c r="O17" s="709"/>
      <c r="P17" s="709"/>
      <c r="Q17" s="709"/>
      <c r="R17" s="709"/>
    </row>
    <row r="18" spans="1:24" ht="13.5" customHeight="1">
      <c r="A18" s="689"/>
      <c r="B18" s="702" t="s">
        <v>379</v>
      </c>
      <c r="C18" s="702"/>
      <c r="D18" s="702"/>
      <c r="E18" s="702"/>
      <c r="F18" s="702"/>
      <c r="G18" s="702"/>
      <c r="H18" s="702"/>
      <c r="I18" s="702"/>
      <c r="K18" s="702" t="s">
        <v>108</v>
      </c>
      <c r="L18" s="702"/>
      <c r="M18" s="702"/>
      <c r="N18" s="702"/>
      <c r="O18" s="702"/>
      <c r="P18" s="702"/>
      <c r="Q18" s="702"/>
      <c r="R18" s="702"/>
    </row>
    <row r="19" spans="1:24" ht="13.5" customHeight="1">
      <c r="A19" s="689"/>
      <c r="B19" s="702" t="s">
        <v>30</v>
      </c>
      <c r="C19" s="702"/>
      <c r="D19" s="702" t="e">
        <f>VLOOKUP($P$8,[1]Puntos_de_medición!$A$1:$H$37,7,0)</f>
        <v>#N/A</v>
      </c>
      <c r="E19" s="702"/>
      <c r="F19" s="702"/>
      <c r="G19" s="702" t="s">
        <v>73</v>
      </c>
      <c r="H19" s="702"/>
      <c r="I19" s="702"/>
      <c r="K19" s="702" t="s">
        <v>30</v>
      </c>
      <c r="L19" s="702"/>
      <c r="M19" s="702" t="e">
        <f>VLOOKUP($P$8,[1]Puntos_de_medición!$A$1:$H$37,8,0)</f>
        <v>#N/A</v>
      </c>
      <c r="N19" s="702"/>
      <c r="O19" s="702"/>
      <c r="P19" s="702" t="s">
        <v>73</v>
      </c>
      <c r="Q19" s="702"/>
      <c r="R19" s="702"/>
    </row>
    <row r="20" spans="1:24" ht="13.5" customHeight="1">
      <c r="A20" s="689"/>
      <c r="B20" s="702" t="s">
        <v>26</v>
      </c>
      <c r="C20" s="702"/>
      <c r="D20" s="702" t="s">
        <v>375</v>
      </c>
      <c r="E20" s="702"/>
      <c r="F20" s="702"/>
      <c r="G20" s="702" t="s">
        <v>377</v>
      </c>
      <c r="H20" s="702"/>
      <c r="I20" s="702"/>
      <c r="K20" s="702" t="s">
        <v>378</v>
      </c>
      <c r="L20" s="702"/>
      <c r="M20" s="702" t="s">
        <v>375</v>
      </c>
      <c r="N20" s="702"/>
      <c r="O20" s="702"/>
      <c r="P20" s="702" t="s">
        <v>377</v>
      </c>
      <c r="Q20" s="702"/>
      <c r="R20" s="702"/>
    </row>
    <row r="21" spans="1:24" ht="13.5" customHeight="1">
      <c r="A21" s="689"/>
      <c r="B21" s="702">
        <v>1</v>
      </c>
      <c r="C21" s="702"/>
      <c r="D21" s="704"/>
      <c r="E21" s="704"/>
      <c r="F21" s="704"/>
      <c r="G21" s="704"/>
      <c r="H21" s="704"/>
      <c r="I21" s="704"/>
      <c r="K21" s="702">
        <v>1</v>
      </c>
      <c r="L21" s="702"/>
      <c r="M21" s="703"/>
      <c r="N21" s="703"/>
      <c r="O21" s="703"/>
      <c r="P21" s="704"/>
      <c r="Q21" s="704"/>
      <c r="R21" s="704"/>
    </row>
    <row r="22" spans="1:24" ht="13.5" customHeight="1">
      <c r="A22" s="689"/>
      <c r="B22" s="702">
        <v>2</v>
      </c>
      <c r="C22" s="702"/>
      <c r="D22" s="704"/>
      <c r="E22" s="704"/>
      <c r="F22" s="704"/>
      <c r="G22" s="704"/>
      <c r="H22" s="704"/>
      <c r="I22" s="704"/>
      <c r="K22" s="702">
        <v>2</v>
      </c>
      <c r="L22" s="702"/>
      <c r="M22" s="703"/>
      <c r="N22" s="703"/>
      <c r="O22" s="703"/>
      <c r="P22" s="704"/>
      <c r="Q22" s="704"/>
      <c r="R22" s="704"/>
    </row>
    <row r="23" spans="1:24" ht="13.5" customHeight="1">
      <c r="A23" s="689"/>
      <c r="B23" s="702">
        <v>3</v>
      </c>
      <c r="C23" s="702"/>
      <c r="D23" s="704"/>
      <c r="E23" s="704"/>
      <c r="F23" s="704"/>
      <c r="G23" s="704"/>
      <c r="H23" s="704"/>
      <c r="I23" s="704"/>
      <c r="K23" s="702">
        <v>3</v>
      </c>
      <c r="L23" s="702"/>
      <c r="M23" s="703"/>
      <c r="N23" s="703"/>
      <c r="O23" s="703"/>
      <c r="P23" s="704"/>
      <c r="Q23" s="704"/>
      <c r="R23" s="704"/>
    </row>
    <row r="24" spans="1:24" ht="13.5" customHeight="1">
      <c r="A24" s="689"/>
      <c r="B24" s="702">
        <v>4</v>
      </c>
      <c r="C24" s="702"/>
      <c r="D24" s="704"/>
      <c r="E24" s="704"/>
      <c r="F24" s="704"/>
      <c r="G24" s="704"/>
      <c r="H24" s="704"/>
      <c r="I24" s="704"/>
      <c r="K24" s="702">
        <v>4</v>
      </c>
      <c r="L24" s="702"/>
      <c r="M24" s="703"/>
      <c r="N24" s="703"/>
      <c r="O24" s="703"/>
      <c r="P24" s="704"/>
      <c r="Q24" s="704"/>
      <c r="R24" s="704"/>
    </row>
    <row r="25" spans="1:24" ht="13.5" customHeight="1">
      <c r="A25" s="689"/>
      <c r="B25" s="702">
        <v>5</v>
      </c>
      <c r="C25" s="702"/>
      <c r="D25" s="704"/>
      <c r="E25" s="704"/>
      <c r="F25" s="704"/>
      <c r="G25" s="704"/>
      <c r="H25" s="704"/>
      <c r="I25" s="704"/>
      <c r="K25" s="702">
        <v>5</v>
      </c>
      <c r="L25" s="702"/>
      <c r="M25" s="703"/>
      <c r="N25" s="703"/>
      <c r="O25" s="703"/>
      <c r="P25" s="704"/>
      <c r="Q25" s="704"/>
      <c r="R25" s="704"/>
    </row>
    <row r="26" spans="1:24" ht="18.75" customHeight="1">
      <c r="A26" s="689"/>
      <c r="B26" s="698"/>
      <c r="C26" s="698"/>
      <c r="D26" s="698"/>
      <c r="E26" s="698"/>
      <c r="F26" s="698"/>
      <c r="G26" s="698"/>
      <c r="H26" s="698"/>
      <c r="I26" s="698"/>
      <c r="K26" s="698"/>
      <c r="L26" s="698"/>
      <c r="M26" s="698"/>
      <c r="N26" s="698"/>
      <c r="O26" s="698"/>
      <c r="P26" s="698"/>
      <c r="Q26" s="698"/>
      <c r="R26" s="698"/>
    </row>
    <row r="27" spans="1:24" ht="13.5" customHeight="1">
      <c r="B27" s="702" t="s">
        <v>109</v>
      </c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</row>
    <row r="28" spans="1:24" ht="13.5" customHeight="1">
      <c r="B28" s="702" t="s">
        <v>376</v>
      </c>
      <c r="C28" s="702"/>
      <c r="D28" s="702" t="s">
        <v>375</v>
      </c>
      <c r="E28" s="702"/>
      <c r="F28" s="702"/>
      <c r="G28" s="702" t="s">
        <v>374</v>
      </c>
      <c r="H28" s="702"/>
      <c r="I28" s="702"/>
      <c r="J28" s="702" t="s">
        <v>373</v>
      </c>
      <c r="K28" s="702"/>
      <c r="L28" s="702"/>
      <c r="M28" s="702" t="s">
        <v>372</v>
      </c>
      <c r="N28" s="702"/>
      <c r="O28" s="702"/>
      <c r="P28" s="702" t="s">
        <v>345</v>
      </c>
      <c r="Q28" s="702"/>
      <c r="R28" s="702"/>
      <c r="S28" s="689"/>
      <c r="T28" s="689"/>
      <c r="U28" s="689"/>
      <c r="V28" s="689"/>
      <c r="W28" s="689"/>
      <c r="X28" s="689"/>
    </row>
    <row r="29" spans="1:24" ht="13.5" customHeight="1">
      <c r="B29" s="702" t="e">
        <f>VLOOKUP($P$8,[1]Puntos_de_medición!$A$1:$H$37,2,0)</f>
        <v>#N/A</v>
      </c>
      <c r="C29" s="702"/>
      <c r="D29" s="703"/>
      <c r="E29" s="703"/>
      <c r="F29" s="703"/>
      <c r="G29" s="704"/>
      <c r="H29" s="704"/>
      <c r="I29" s="704"/>
      <c r="J29" s="704"/>
      <c r="K29" s="704"/>
      <c r="L29" s="704"/>
      <c r="M29" s="704"/>
      <c r="N29" s="704"/>
      <c r="O29" s="704"/>
      <c r="P29" s="702" t="e">
        <f>AVERAGE(G29:O29)</f>
        <v>#DIV/0!</v>
      </c>
      <c r="Q29" s="702"/>
      <c r="R29" s="702"/>
      <c r="S29" s="689"/>
      <c r="T29" s="689"/>
      <c r="U29" s="689"/>
      <c r="V29" s="689"/>
      <c r="W29" s="689"/>
      <c r="X29" s="689"/>
    </row>
    <row r="30" spans="1:24" ht="13.5" customHeight="1">
      <c r="A30" s="689"/>
      <c r="B30" s="702" t="e">
        <f>VLOOKUP($P$8,[1]Puntos_de_medición!$A$1:$H$37,3,0)</f>
        <v>#N/A</v>
      </c>
      <c r="C30" s="702"/>
      <c r="D30" s="703"/>
      <c r="E30" s="703"/>
      <c r="F30" s="703"/>
      <c r="G30" s="704"/>
      <c r="H30" s="704"/>
      <c r="I30" s="704"/>
      <c r="J30" s="704"/>
      <c r="K30" s="704"/>
      <c r="L30" s="704"/>
      <c r="M30" s="704"/>
      <c r="N30" s="704"/>
      <c r="O30" s="704"/>
      <c r="P30" s="702" t="e">
        <f>AVERAGE(G30:O30)</f>
        <v>#DIV/0!</v>
      </c>
      <c r="Q30" s="702"/>
      <c r="R30" s="702"/>
      <c r="S30" s="689"/>
      <c r="T30" s="689"/>
      <c r="U30" s="689"/>
      <c r="V30" s="689"/>
      <c r="W30" s="689"/>
      <c r="X30" s="689"/>
    </row>
    <row r="31" spans="1:24" ht="13.5" customHeight="1">
      <c r="A31" s="689"/>
      <c r="B31" s="702" t="e">
        <f>VLOOKUP($P$8,[1]Puntos_de_medición!$A$1:$H$37,4,0)</f>
        <v>#N/A</v>
      </c>
      <c r="C31" s="702"/>
      <c r="D31" s="703"/>
      <c r="E31" s="703"/>
      <c r="F31" s="703"/>
      <c r="G31" s="704"/>
      <c r="H31" s="704"/>
      <c r="I31" s="704"/>
      <c r="J31" s="704"/>
      <c r="K31" s="704"/>
      <c r="L31" s="704"/>
      <c r="M31" s="704"/>
      <c r="N31" s="704"/>
      <c r="O31" s="704"/>
      <c r="P31" s="702" t="e">
        <f>AVERAGE(G31:O31)</f>
        <v>#DIV/0!</v>
      </c>
      <c r="Q31" s="702"/>
      <c r="R31" s="702"/>
      <c r="S31" s="689"/>
      <c r="T31" s="689"/>
      <c r="U31" s="689"/>
      <c r="V31" s="689"/>
      <c r="W31" s="689"/>
      <c r="X31" s="689"/>
    </row>
    <row r="32" spans="1:24" ht="13.5" customHeight="1">
      <c r="A32" s="689"/>
      <c r="B32" s="702" t="e">
        <f>VLOOKUP($P$8,[1]Puntos_de_medición!$A$1:$H$37,5,0)</f>
        <v>#N/A</v>
      </c>
      <c r="C32" s="702"/>
      <c r="D32" s="703"/>
      <c r="E32" s="703"/>
      <c r="F32" s="703"/>
      <c r="G32" s="704"/>
      <c r="H32" s="704"/>
      <c r="I32" s="704"/>
      <c r="J32" s="704"/>
      <c r="K32" s="704"/>
      <c r="L32" s="704"/>
      <c r="M32" s="704"/>
      <c r="N32" s="704"/>
      <c r="O32" s="704"/>
      <c r="P32" s="702" t="e">
        <f>AVERAGE(G32:O32)</f>
        <v>#DIV/0!</v>
      </c>
      <c r="Q32" s="702"/>
      <c r="R32" s="702"/>
      <c r="S32" s="689"/>
      <c r="T32" s="689"/>
      <c r="U32" s="689"/>
      <c r="V32" s="689"/>
      <c r="W32" s="689"/>
      <c r="X32" s="689"/>
    </row>
    <row r="33" spans="1:24" ht="13.5" customHeight="1">
      <c r="A33" s="689"/>
      <c r="B33" s="702" t="e">
        <f>VLOOKUP($P$8,[1]Puntos_de_medición!$A$1:$H$37,6,0)</f>
        <v>#N/A</v>
      </c>
      <c r="C33" s="702"/>
      <c r="D33" s="703"/>
      <c r="E33" s="703"/>
      <c r="F33" s="703"/>
      <c r="G33" s="704"/>
      <c r="H33" s="704"/>
      <c r="I33" s="704"/>
      <c r="J33" s="704"/>
      <c r="K33" s="704"/>
      <c r="L33" s="704"/>
      <c r="M33" s="704"/>
      <c r="N33" s="704"/>
      <c r="O33" s="704"/>
      <c r="P33" s="702" t="e">
        <f>AVERAGE(G33:O33)</f>
        <v>#DIV/0!</v>
      </c>
      <c r="Q33" s="702"/>
      <c r="R33" s="702"/>
      <c r="S33" s="689"/>
      <c r="T33" s="689"/>
      <c r="U33" s="689"/>
      <c r="V33" s="689"/>
      <c r="W33" s="689"/>
      <c r="X33" s="689"/>
    </row>
    <row r="34" spans="1:24" ht="13.5" customHeight="1">
      <c r="A34" s="689"/>
      <c r="B34" s="689"/>
      <c r="C34" s="689"/>
      <c r="D34" s="689"/>
      <c r="E34" s="699"/>
      <c r="F34" s="699"/>
      <c r="G34" s="699"/>
      <c r="H34" s="699"/>
      <c r="I34" s="699"/>
      <c r="J34" s="699"/>
      <c r="K34" s="699"/>
      <c r="L34" s="699"/>
      <c r="M34" s="699"/>
      <c r="N34" s="699"/>
      <c r="O34" s="699"/>
      <c r="P34" s="699"/>
      <c r="Q34" s="689"/>
      <c r="R34" s="689"/>
      <c r="S34" s="689"/>
      <c r="T34" s="689"/>
      <c r="U34" s="689"/>
      <c r="V34" s="689"/>
      <c r="W34" s="689"/>
      <c r="X34" s="689"/>
    </row>
    <row r="35" spans="1:24" ht="11.25" customHeight="1"/>
    <row r="36" spans="1:24" ht="13.5" customHeight="1">
      <c r="A36" s="700"/>
      <c r="B36" s="700"/>
      <c r="C36" s="700"/>
      <c r="D36" s="699"/>
      <c r="E36" s="699"/>
      <c r="F36" s="699"/>
      <c r="G36" s="699"/>
      <c r="H36" s="699"/>
      <c r="I36" s="699"/>
      <c r="J36" s="699"/>
      <c r="K36" s="699"/>
    </row>
    <row r="37" spans="1:24" ht="13.5" customHeight="1">
      <c r="A37" s="700"/>
      <c r="B37" s="700"/>
      <c r="C37" s="700"/>
      <c r="K37" s="684"/>
    </row>
    <row r="38" spans="1:24" ht="11.25" customHeight="1"/>
    <row r="39" spans="1:24" ht="11.25" customHeight="1"/>
    <row r="40" spans="1:24" ht="15" customHeight="1"/>
    <row r="41" spans="1:24" ht="15" customHeight="1">
      <c r="A41" s="705" t="s">
        <v>31</v>
      </c>
      <c r="B41" s="705"/>
      <c r="C41" s="705"/>
      <c r="D41" s="705"/>
      <c r="E41" s="706"/>
      <c r="F41" s="706"/>
      <c r="G41" s="706"/>
      <c r="H41" s="706"/>
      <c r="I41" s="706"/>
      <c r="J41" s="706"/>
      <c r="K41" s="706"/>
      <c r="L41" s="706"/>
      <c r="M41" s="706"/>
      <c r="N41" s="706"/>
      <c r="O41" s="706"/>
      <c r="P41" s="706"/>
      <c r="Q41" s="706"/>
      <c r="R41" s="706"/>
      <c r="S41" s="706"/>
    </row>
    <row r="42" spans="1:24" ht="15" customHeight="1">
      <c r="A42" s="705"/>
      <c r="B42" s="705"/>
      <c r="C42" s="705"/>
      <c r="D42" s="705"/>
      <c r="E42" s="706"/>
      <c r="F42" s="706"/>
      <c r="G42" s="706"/>
      <c r="H42" s="706"/>
      <c r="I42" s="706"/>
      <c r="J42" s="706"/>
      <c r="K42" s="706"/>
      <c r="L42" s="706"/>
      <c r="M42" s="706"/>
      <c r="N42" s="706"/>
      <c r="O42" s="706"/>
      <c r="P42" s="706"/>
      <c r="Q42" s="706"/>
      <c r="R42" s="706"/>
      <c r="S42" s="706"/>
    </row>
    <row r="43" spans="1:24" ht="13.5" customHeight="1">
      <c r="A43" s="705"/>
      <c r="B43" s="705"/>
      <c r="C43" s="705"/>
      <c r="D43" s="705"/>
      <c r="E43" s="706"/>
      <c r="F43" s="706"/>
      <c r="G43" s="706"/>
      <c r="H43" s="706"/>
      <c r="I43" s="706"/>
      <c r="J43" s="706"/>
      <c r="K43" s="706"/>
      <c r="L43" s="706"/>
      <c r="M43" s="706"/>
      <c r="N43" s="706"/>
      <c r="O43" s="706"/>
      <c r="P43" s="706"/>
      <c r="Q43" s="706"/>
      <c r="R43" s="706"/>
      <c r="S43" s="706"/>
    </row>
    <row r="44" spans="1:24" ht="13.5" customHeight="1"/>
    <row r="45" spans="1:24" ht="11.25" customHeight="1"/>
    <row r="46" spans="1:24" ht="11.25" customHeight="1"/>
    <row r="47" spans="1:24" ht="11.25" customHeight="1">
      <c r="O47" s="684"/>
    </row>
    <row r="48" spans="1:24" ht="11.25" customHeight="1"/>
    <row r="49" spans="5:15" ht="11.25" customHeight="1">
      <c r="E49" s="707" t="s">
        <v>371</v>
      </c>
      <c r="F49" s="707"/>
      <c r="G49" s="707"/>
      <c r="H49" s="708"/>
      <c r="I49" s="708"/>
      <c r="J49" s="708"/>
      <c r="K49" s="708"/>
      <c r="L49" s="708"/>
      <c r="M49" s="708"/>
      <c r="N49" s="708"/>
      <c r="O49" s="708"/>
    </row>
    <row r="50" spans="5:15" ht="11.25" customHeight="1"/>
    <row r="51" spans="5:15" ht="11.25" customHeight="1"/>
    <row r="52" spans="5:15" ht="11.25" customHeight="1"/>
    <row r="53" spans="5:15" ht="11.25" customHeight="1"/>
    <row r="54" spans="5:15" ht="11.25" customHeight="1"/>
    <row r="55" spans="5:15" ht="11.25" customHeight="1"/>
    <row r="56" spans="5:15" ht="11.25" customHeight="1"/>
    <row r="57" spans="5:15" ht="11.25" customHeight="1"/>
    <row r="58" spans="5:15" ht="11.25" customHeight="1"/>
    <row r="59" spans="5:15" ht="11.25" customHeight="1"/>
    <row r="60" spans="5:15" ht="11.25" customHeight="1"/>
    <row r="61" spans="5:15" ht="11.25" customHeight="1"/>
    <row r="62" spans="5:15" ht="11.25" customHeight="1"/>
    <row r="63" spans="5:15" ht="11.25" customHeight="1"/>
    <row r="64" spans="5:15" ht="11.25" customHeight="1"/>
    <row r="65" ht="11.25" customHeight="1"/>
    <row r="66" ht="11.25" customHeight="1"/>
    <row r="67" ht="11.25" customHeight="1"/>
    <row r="68" ht="11.25" customHeight="1"/>
  </sheetData>
  <sheetProtection algorithmName="SHA-512" hashValue="ixgEvyEvMl/+9B3k6JhncMg0MBW6tXfRFeobHWVX8lQRgKQTRlXMqtM0FwoXLS8a47LgmkIDgn2YaGpzIbtLDw==" saltValue="+DqFloIeUbT4Qs3c72V/xA==" spinCount="100000" sheet="1" formatCells="0" formatColumns="0" formatRows="0" insertColumns="0" insertRows="0" insertHyperlinks="0" deleteColumns="0" deleteRows="0" sort="0" autoFilter="0" pivotTables="0"/>
  <mergeCells count="125">
    <mergeCell ref="P10:R11"/>
    <mergeCell ref="B1:R1"/>
    <mergeCell ref="E4:F4"/>
    <mergeCell ref="G4:I4"/>
    <mergeCell ref="J4:K4"/>
    <mergeCell ref="L4:N4"/>
    <mergeCell ref="O4:P4"/>
    <mergeCell ref="Q4:S4"/>
    <mergeCell ref="E6:F6"/>
    <mergeCell ref="G6:S6"/>
    <mergeCell ref="E7:F7"/>
    <mergeCell ref="G7:L7"/>
    <mergeCell ref="M7:O7"/>
    <mergeCell ref="P7:S7"/>
    <mergeCell ref="E8:F8"/>
    <mergeCell ref="G8:L8"/>
    <mergeCell ref="M8:O8"/>
    <mergeCell ref="P8:S8"/>
    <mergeCell ref="E9:F9"/>
    <mergeCell ref="G9:L9"/>
    <mergeCell ref="M9:O9"/>
    <mergeCell ref="P9:S9"/>
    <mergeCell ref="E10:F11"/>
    <mergeCell ref="H13:I13"/>
    <mergeCell ref="J13:K13"/>
    <mergeCell ref="L13:M13"/>
    <mergeCell ref="N13:O13"/>
    <mergeCell ref="F14:G14"/>
    <mergeCell ref="H14:I14"/>
    <mergeCell ref="J14:K14"/>
    <mergeCell ref="L14:M14"/>
    <mergeCell ref="N14:O14"/>
    <mergeCell ref="H10:J11"/>
    <mergeCell ref="L10:N11"/>
    <mergeCell ref="F15:G15"/>
    <mergeCell ref="H15:I15"/>
    <mergeCell ref="J15:K15"/>
    <mergeCell ref="L15:M15"/>
    <mergeCell ref="N15:O15"/>
    <mergeCell ref="B17:R17"/>
    <mergeCell ref="B18:I18"/>
    <mergeCell ref="K18:R18"/>
    <mergeCell ref="B19:C19"/>
    <mergeCell ref="D19:F19"/>
    <mergeCell ref="G19:I19"/>
    <mergeCell ref="K19:L19"/>
    <mergeCell ref="M19:O19"/>
    <mergeCell ref="P19:R19"/>
    <mergeCell ref="B20:C20"/>
    <mergeCell ref="D20:F20"/>
    <mergeCell ref="G20:I20"/>
    <mergeCell ref="K20:L20"/>
    <mergeCell ref="M20:O20"/>
    <mergeCell ref="P20:R20"/>
    <mergeCell ref="B21:C21"/>
    <mergeCell ref="D21:F21"/>
    <mergeCell ref="G21:I21"/>
    <mergeCell ref="K21:L21"/>
    <mergeCell ref="M21:O21"/>
    <mergeCell ref="P21:R21"/>
    <mergeCell ref="B22:C22"/>
    <mergeCell ref="D22:F22"/>
    <mergeCell ref="G22:I22"/>
    <mergeCell ref="K22:L22"/>
    <mergeCell ref="M22:O22"/>
    <mergeCell ref="P22:R22"/>
    <mergeCell ref="B23:C23"/>
    <mergeCell ref="D23:F23"/>
    <mergeCell ref="G23:I23"/>
    <mergeCell ref="K23:L23"/>
    <mergeCell ref="M23:O23"/>
    <mergeCell ref="P23:R23"/>
    <mergeCell ref="B24:C24"/>
    <mergeCell ref="D24:F24"/>
    <mergeCell ref="G24:I24"/>
    <mergeCell ref="K24:L24"/>
    <mergeCell ref="M24:O24"/>
    <mergeCell ref="P24:R24"/>
    <mergeCell ref="B25:C25"/>
    <mergeCell ref="D25:F25"/>
    <mergeCell ref="G25:I25"/>
    <mergeCell ref="K25:L25"/>
    <mergeCell ref="M25:O25"/>
    <mergeCell ref="P25:R25"/>
    <mergeCell ref="B27:R27"/>
    <mergeCell ref="B28:C28"/>
    <mergeCell ref="D28:F28"/>
    <mergeCell ref="G28:I28"/>
    <mergeCell ref="J28:L28"/>
    <mergeCell ref="M28:O28"/>
    <mergeCell ref="P28:R28"/>
    <mergeCell ref="B29:C29"/>
    <mergeCell ref="D29:F29"/>
    <mergeCell ref="G29:I29"/>
    <mergeCell ref="J29:L29"/>
    <mergeCell ref="M29:O29"/>
    <mergeCell ref="P29:R29"/>
    <mergeCell ref="B30:C30"/>
    <mergeCell ref="D30:F30"/>
    <mergeCell ref="G30:I30"/>
    <mergeCell ref="J30:L30"/>
    <mergeCell ref="M30:O30"/>
    <mergeCell ref="P30:R30"/>
    <mergeCell ref="B31:C31"/>
    <mergeCell ref="D31:F31"/>
    <mergeCell ref="G31:I31"/>
    <mergeCell ref="J31:L31"/>
    <mergeCell ref="M31:O31"/>
    <mergeCell ref="P31:R31"/>
    <mergeCell ref="B32:C32"/>
    <mergeCell ref="D32:F32"/>
    <mergeCell ref="G32:I32"/>
    <mergeCell ref="J32:L32"/>
    <mergeCell ref="M32:O32"/>
    <mergeCell ref="P32:R32"/>
    <mergeCell ref="A41:D43"/>
    <mergeCell ref="E41:S43"/>
    <mergeCell ref="E49:G49"/>
    <mergeCell ref="H49:O49"/>
    <mergeCell ref="B33:C33"/>
    <mergeCell ref="D33:F33"/>
    <mergeCell ref="G33:I33"/>
    <mergeCell ref="J33:L33"/>
    <mergeCell ref="M33:O33"/>
    <mergeCell ref="P33:R33"/>
  </mergeCells>
  <conditionalFormatting sqref="B29:B33">
    <cfRule type="expression" dxfId="3" priority="1" stopIfTrue="1">
      <formula>ISERROR(B29)</formula>
    </cfRule>
  </conditionalFormatting>
  <conditionalFormatting sqref="D19">
    <cfRule type="expression" dxfId="2" priority="2" stopIfTrue="1">
      <formula>ISERROR(D19)</formula>
    </cfRule>
  </conditionalFormatting>
  <conditionalFormatting sqref="M19">
    <cfRule type="expression" dxfId="1" priority="3" stopIfTrue="1">
      <formula>ISERROR(M19)</formula>
    </cfRule>
  </conditionalFormatting>
  <conditionalFormatting sqref="P29:P33">
    <cfRule type="expression" dxfId="0" priority="4" stopIfTrue="1">
      <formula>ISERROR(P29)</formula>
    </cfRule>
  </conditionalFormatting>
  <dataValidations count="2">
    <dataValidation type="list" allowBlank="1" sqref="H49">
      <formula1>"Diego Baez,Gerardo Baez,Manuel Ascencio"</formula1>
    </dataValidation>
    <dataValidation type="list" allowBlank="1" showInputMessage="1" showErrorMessage="1" sqref="H10:J11 L10:N11 P10:R11">
      <formula1>"STD#0030,STD#0031,STD#032,STD#036,STD#188,STD#189,STD#035"</formula1>
    </dataValidation>
  </dataValidations>
  <pageMargins left="0.70000000000000007" right="0.70000000000000007" top="1.1437000000000002" bottom="1.0472000000000001" header="0.75000000000000011" footer="0.30000000000000004"/>
  <pageSetup paperSize="0" fitToWidth="0" fitToHeight="0" orientation="portrait" horizontalDpi="0" verticalDpi="0" copies="0"/>
  <headerFooter alignWithMargins="0">
    <oddFooter>&amp;L&amp;"Calibri,Regular"Ref. PMMC-01&amp;R&amp;"Calibri,Regular"SOFT-005 BÁSCULAS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view="pageBreakPreview" topLeftCell="A25" zoomScale="110" zoomScaleNormal="100" zoomScaleSheetLayoutView="110" workbookViewId="0">
      <selection activeCell="D35" sqref="D35"/>
    </sheetView>
  </sheetViews>
  <sheetFormatPr baseColWidth="10" defaultRowHeight="12.75"/>
  <cols>
    <col min="1" max="1" width="15" customWidth="1"/>
    <col min="2" max="2" width="13" customWidth="1"/>
    <col min="3" max="5" width="12.140625" customWidth="1"/>
    <col min="6" max="6" width="11.5703125" customWidth="1"/>
    <col min="7" max="7" width="11.7109375" customWidth="1"/>
    <col min="8" max="8" width="11.28515625" customWidth="1"/>
    <col min="13" max="13" width="14.28515625" customWidth="1"/>
    <col min="14" max="18" width="6.28515625" customWidth="1"/>
    <col min="19" max="19" width="12.5703125" customWidth="1"/>
    <col min="20" max="20" width="6.28515625" customWidth="1"/>
  </cols>
  <sheetData>
    <row r="1" spans="1:11" ht="38.25" customHeight="1">
      <c r="A1" s="781" t="s">
        <v>113</v>
      </c>
      <c r="B1" s="782"/>
      <c r="C1" s="782"/>
      <c r="D1" s="782"/>
      <c r="E1" s="782"/>
      <c r="F1" s="782"/>
      <c r="G1" s="782"/>
      <c r="H1" s="782"/>
      <c r="I1" s="783"/>
    </row>
    <row r="2" spans="1:11" ht="13.5" thickBot="1">
      <c r="A2" s="784"/>
      <c r="B2" s="785"/>
      <c r="C2" s="785"/>
      <c r="D2" s="785"/>
      <c r="E2" s="785"/>
      <c r="F2" s="785"/>
      <c r="G2" s="785"/>
      <c r="H2" s="785"/>
      <c r="I2" s="786"/>
    </row>
    <row r="3" spans="1:11" ht="26.25" customHeight="1" thickBot="1">
      <c r="A3" s="244"/>
      <c r="B3" s="245"/>
      <c r="C3" s="245"/>
      <c r="D3" s="393"/>
      <c r="E3" s="749"/>
      <c r="F3" s="750"/>
      <c r="G3" s="392"/>
      <c r="H3" s="792"/>
      <c r="I3" s="793"/>
    </row>
    <row r="4" spans="1:11" ht="24.75" customHeight="1" thickBot="1">
      <c r="A4" s="246"/>
      <c r="B4" s="745"/>
      <c r="C4" s="745"/>
      <c r="D4" s="746"/>
      <c r="E4" s="171"/>
      <c r="F4" s="172"/>
      <c r="G4" s="283"/>
      <c r="H4" s="794"/>
      <c r="I4" s="795"/>
    </row>
    <row r="5" spans="1:11" ht="23.25" customHeight="1" thickBot="1">
      <c r="A5" s="236" t="s">
        <v>174</v>
      </c>
      <c r="B5" s="150">
        <f>Hoja_de_registro!P8</f>
        <v>0</v>
      </c>
      <c r="C5" s="149" t="s">
        <v>73</v>
      </c>
      <c r="D5" s="765"/>
      <c r="E5" s="766"/>
      <c r="F5" s="173"/>
      <c r="G5" s="284"/>
      <c r="H5" s="796"/>
      <c r="I5" s="797"/>
    </row>
    <row r="6" spans="1:11" ht="25.5" customHeight="1" thickBot="1">
      <c r="A6" s="279"/>
      <c r="B6" s="280"/>
      <c r="C6" s="281"/>
      <c r="D6" s="765"/>
      <c r="E6" s="766"/>
      <c r="F6" s="282"/>
      <c r="G6" s="285"/>
      <c r="H6" s="773"/>
      <c r="I6" s="774"/>
    </row>
    <row r="7" spans="1:11" ht="13.5" thickBot="1">
      <c r="A7" s="271"/>
      <c r="I7" s="272"/>
    </row>
    <row r="8" spans="1:11" ht="13.5" thickBot="1">
      <c r="A8" s="747"/>
      <c r="B8" s="747"/>
      <c r="C8" s="747"/>
      <c r="D8" s="770"/>
      <c r="E8" s="808" t="s">
        <v>92</v>
      </c>
      <c r="F8" s="809"/>
      <c r="G8" s="809"/>
      <c r="H8" s="809"/>
      <c r="I8" s="810"/>
      <c r="J8" s="247"/>
      <c r="K8" s="247"/>
    </row>
    <row r="9" spans="1:11" ht="13.5" thickBot="1">
      <c r="A9" s="748"/>
      <c r="B9" s="748"/>
      <c r="C9" s="748"/>
      <c r="D9" s="771"/>
      <c r="E9" s="170"/>
      <c r="F9" s="169" t="s">
        <v>30</v>
      </c>
      <c r="G9" s="767" t="s">
        <v>93</v>
      </c>
      <c r="H9" s="768"/>
      <c r="I9" s="769"/>
      <c r="J9" s="813"/>
      <c r="K9" s="813"/>
    </row>
    <row r="10" spans="1:11" ht="13.5" thickBot="1">
      <c r="A10" s="748"/>
      <c r="B10" s="748"/>
      <c r="C10" s="748"/>
      <c r="D10" s="772"/>
      <c r="E10" s="152" t="s">
        <v>94</v>
      </c>
      <c r="F10" s="168" t="str">
        <f>C5</f>
        <v>g</v>
      </c>
      <c r="G10" s="814" t="s">
        <v>47</v>
      </c>
      <c r="H10" s="815"/>
      <c r="I10" s="816"/>
      <c r="J10" s="813"/>
      <c r="K10" s="813"/>
    </row>
    <row r="11" spans="1:11" ht="13.5" thickBot="1">
      <c r="A11" s="340"/>
      <c r="B11" s="326"/>
      <c r="C11" s="326"/>
      <c r="D11" s="391"/>
      <c r="E11" s="153">
        <v>1</v>
      </c>
      <c r="F11" s="400">
        <f>+B5</f>
        <v>0</v>
      </c>
      <c r="G11" s="817">
        <v>2</v>
      </c>
      <c r="H11" s="818"/>
      <c r="I11" s="819"/>
      <c r="J11" s="800"/>
      <c r="K11" s="800"/>
    </row>
    <row r="12" spans="1:11">
      <c r="A12" s="339"/>
      <c r="B12" s="91"/>
      <c r="C12" s="91"/>
      <c r="E12" s="153">
        <v>2</v>
      </c>
      <c r="F12" s="787"/>
      <c r="G12" s="789">
        <v>2</v>
      </c>
      <c r="H12" s="790"/>
      <c r="I12" s="791"/>
      <c r="J12" s="800"/>
      <c r="K12" s="800"/>
    </row>
    <row r="13" spans="1:11" ht="13.5" thickBot="1">
      <c r="A13" s="339"/>
      <c r="B13" s="91"/>
      <c r="C13" s="342"/>
      <c r="E13" s="248">
        <v>3</v>
      </c>
      <c r="F13" s="788"/>
      <c r="G13" s="830">
        <v>2</v>
      </c>
      <c r="H13" s="831"/>
      <c r="I13" s="832"/>
      <c r="J13" s="800"/>
      <c r="K13" s="800"/>
    </row>
    <row r="14" spans="1:11" ht="13.5" thickBot="1">
      <c r="A14" s="341"/>
      <c r="B14" s="343"/>
      <c r="E14" s="811" t="s">
        <v>95</v>
      </c>
      <c r="F14" s="812"/>
      <c r="G14" s="827">
        <f>(MAX(G11:I13)*2)</f>
        <v>4</v>
      </c>
      <c r="H14" s="828"/>
      <c r="I14" s="829"/>
      <c r="J14" s="800"/>
      <c r="K14" s="800"/>
    </row>
    <row r="15" spans="1:11" ht="13.5" thickBot="1">
      <c r="A15" s="271"/>
      <c r="D15" s="277"/>
      <c r="E15" s="277"/>
      <c r="F15" s="277"/>
      <c r="G15" s="277"/>
      <c r="H15" s="277"/>
      <c r="I15" s="278"/>
    </row>
    <row r="16" spans="1:11" ht="13.5" thickTop="1">
      <c r="A16" s="820" t="s">
        <v>340</v>
      </c>
      <c r="B16" s="821"/>
      <c r="C16" s="822"/>
      <c r="D16" s="381"/>
      <c r="E16" s="381"/>
      <c r="F16" s="381"/>
      <c r="G16" s="381"/>
      <c r="H16" s="381"/>
      <c r="I16" s="382"/>
    </row>
    <row r="17" spans="1:13" ht="13.5" thickBot="1">
      <c r="A17" s="823"/>
      <c r="B17" s="824"/>
      <c r="C17" s="825"/>
      <c r="D17" s="381"/>
      <c r="E17" s="381"/>
      <c r="F17" s="381"/>
      <c r="G17" s="381"/>
      <c r="H17" s="381"/>
      <c r="I17" s="382"/>
    </row>
    <row r="18" spans="1:13">
      <c r="A18" s="834" t="s">
        <v>25</v>
      </c>
      <c r="B18" s="836">
        <f>A48</f>
        <v>0</v>
      </c>
      <c r="C18" s="838" t="str">
        <f>C5</f>
        <v>g</v>
      </c>
      <c r="D18" s="381"/>
      <c r="E18" s="381"/>
      <c r="F18" s="381"/>
      <c r="G18" s="381"/>
      <c r="H18" s="381"/>
      <c r="I18" s="382"/>
      <c r="M18" s="353"/>
    </row>
    <row r="19" spans="1:13" ht="13.5" thickBot="1">
      <c r="A19" s="835"/>
      <c r="B19" s="837"/>
      <c r="C19" s="839"/>
      <c r="D19" s="381"/>
      <c r="E19" s="381"/>
      <c r="F19" s="381"/>
      <c r="G19" s="381"/>
      <c r="H19" s="381"/>
      <c r="I19" s="382"/>
    </row>
    <row r="20" spans="1:13" ht="15" thickBot="1">
      <c r="A20" s="319" t="s">
        <v>26</v>
      </c>
      <c r="B20" s="352" t="s">
        <v>67</v>
      </c>
      <c r="C20" s="117" t="s">
        <v>68</v>
      </c>
      <c r="D20" s="381"/>
      <c r="E20" s="381"/>
      <c r="F20" s="381"/>
      <c r="G20" s="381"/>
      <c r="H20" s="381"/>
      <c r="I20" s="382"/>
    </row>
    <row r="21" spans="1:13" ht="13.5" thickBot="1">
      <c r="A21" s="119">
        <v>1</v>
      </c>
      <c r="B21" s="650">
        <f>Hoja_de_registro!D21</f>
        <v>0</v>
      </c>
      <c r="C21" s="651">
        <f>Hoja_de_registro!G21</f>
        <v>0</v>
      </c>
      <c r="D21" s="381"/>
      <c r="E21" s="381"/>
      <c r="F21" s="381"/>
      <c r="G21" s="381"/>
      <c r="H21" s="381"/>
      <c r="I21" s="382"/>
    </row>
    <row r="22" spans="1:13" ht="13.5" thickBot="1">
      <c r="A22" s="120">
        <v>2</v>
      </c>
      <c r="B22" s="650">
        <f>Hoja_de_registro!D22</f>
        <v>0</v>
      </c>
      <c r="C22" s="651">
        <f>Hoja_de_registro!G22</f>
        <v>0</v>
      </c>
      <c r="D22" s="381"/>
      <c r="E22" s="381"/>
      <c r="F22" s="381"/>
      <c r="G22" s="381"/>
      <c r="H22" s="381"/>
      <c r="I22" s="382"/>
    </row>
    <row r="23" spans="1:13" ht="13.5" thickBot="1">
      <c r="A23" s="120">
        <v>3</v>
      </c>
      <c r="B23" s="650">
        <f>Hoja_de_registro!D23</f>
        <v>0</v>
      </c>
      <c r="C23" s="651">
        <f>Hoja_de_registro!G23</f>
        <v>0</v>
      </c>
      <c r="D23" s="804"/>
      <c r="E23" s="805"/>
      <c r="F23" s="805"/>
      <c r="G23" s="805"/>
      <c r="H23" s="805"/>
      <c r="I23" s="806"/>
    </row>
    <row r="24" spans="1:13" ht="13.5" thickBot="1">
      <c r="A24" s="120">
        <v>4</v>
      </c>
      <c r="B24" s="650">
        <f>Hoja_de_registro!D24</f>
        <v>0</v>
      </c>
      <c r="C24" s="651">
        <f>Hoja_de_registro!G24</f>
        <v>0</v>
      </c>
      <c r="D24" s="807"/>
      <c r="E24" s="805"/>
      <c r="F24" s="805"/>
      <c r="G24" s="805"/>
      <c r="H24" s="805"/>
      <c r="I24" s="806"/>
      <c r="K24" s="321"/>
      <c r="L24" s="354"/>
    </row>
    <row r="25" spans="1:13" ht="13.5" thickBot="1">
      <c r="A25" s="121">
        <v>5</v>
      </c>
      <c r="B25" s="650">
        <f>Hoja_de_registro!D25</f>
        <v>0</v>
      </c>
      <c r="C25" s="651">
        <f>Hoja_de_registro!G25</f>
        <v>0</v>
      </c>
      <c r="D25" s="807"/>
      <c r="E25" s="805"/>
      <c r="F25" s="805"/>
      <c r="G25" s="805"/>
      <c r="H25" s="805"/>
      <c r="I25" s="806"/>
      <c r="K25" s="321"/>
      <c r="L25" s="354"/>
    </row>
    <row r="26" spans="1:13" ht="13.5" thickBot="1">
      <c r="A26" s="276"/>
      <c r="B26" s="277"/>
      <c r="C26" s="277"/>
      <c r="D26" s="383"/>
      <c r="E26" s="383"/>
      <c r="F26" s="383"/>
      <c r="G26" s="383"/>
      <c r="H26" s="383"/>
      <c r="I26" s="384"/>
    </row>
    <row r="27" spans="1:13" ht="14.25" thickTop="1" thickBot="1">
      <c r="A27" s="385" t="s">
        <v>114</v>
      </c>
      <c r="B27" s="381"/>
      <c r="C27" s="381"/>
      <c r="D27" s="381"/>
      <c r="E27" s="381"/>
      <c r="F27" s="381"/>
      <c r="G27" s="381"/>
      <c r="H27" s="381"/>
      <c r="I27" s="382"/>
    </row>
    <row r="28" spans="1:13" ht="34.5" customHeight="1" thickBot="1">
      <c r="A28" s="801" t="s">
        <v>341</v>
      </c>
      <c r="B28" s="802"/>
      <c r="C28" s="803"/>
      <c r="D28" s="386"/>
      <c r="E28" s="381"/>
      <c r="F28" s="387"/>
      <c r="G28" s="826" t="s">
        <v>117</v>
      </c>
      <c r="H28" s="826"/>
      <c r="I28" s="826"/>
      <c r="J28" s="264"/>
      <c r="K28" s="265"/>
      <c r="L28" s="265"/>
    </row>
    <row r="29" spans="1:13" ht="12.75" customHeight="1" thickBot="1">
      <c r="A29" s="843" t="s">
        <v>25</v>
      </c>
      <c r="B29" s="845">
        <f>A48</f>
        <v>0</v>
      </c>
      <c r="C29" s="850" t="str">
        <f>C5</f>
        <v>g</v>
      </c>
      <c r="D29" s="381"/>
      <c r="E29" s="381"/>
      <c r="F29" s="387"/>
      <c r="G29" s="387" t="s">
        <v>25</v>
      </c>
      <c r="H29" s="387">
        <f>B5</f>
        <v>0</v>
      </c>
      <c r="I29" s="387" t="str">
        <f>C29</f>
        <v>g</v>
      </c>
      <c r="J29" s="266"/>
      <c r="K29" s="265"/>
      <c r="L29" s="265"/>
    </row>
    <row r="30" spans="1:13" ht="13.5" thickBot="1">
      <c r="A30" s="844"/>
      <c r="B30" s="846"/>
      <c r="C30" s="837"/>
      <c r="D30" s="381"/>
      <c r="E30" s="381"/>
      <c r="F30" s="755" t="s">
        <v>53</v>
      </c>
      <c r="G30" s="756"/>
      <c r="H30" s="757"/>
      <c r="I30" s="648"/>
      <c r="J30" s="266"/>
      <c r="K30" s="265"/>
      <c r="L30" s="265"/>
    </row>
    <row r="31" spans="1:13" ht="13.5" customHeight="1" thickBot="1">
      <c r="A31" s="849" t="s">
        <v>27</v>
      </c>
      <c r="B31" s="843" t="s">
        <v>67</v>
      </c>
      <c r="C31" s="847" t="s">
        <v>68</v>
      </c>
      <c r="D31" s="381"/>
      <c r="E31" s="381"/>
      <c r="F31" s="649" t="s">
        <v>67</v>
      </c>
      <c r="G31" s="649" t="s">
        <v>68</v>
      </c>
      <c r="H31" s="649" t="s">
        <v>68</v>
      </c>
      <c r="I31" s="63" t="s">
        <v>68</v>
      </c>
      <c r="J31" s="265"/>
      <c r="K31" s="267"/>
      <c r="L31" s="265"/>
    </row>
    <row r="32" spans="1:13" ht="13.5" thickBot="1">
      <c r="A32" s="847"/>
      <c r="B32" s="844"/>
      <c r="C32" s="848"/>
      <c r="D32" s="381"/>
      <c r="E32" s="381"/>
      <c r="F32" s="312" t="str">
        <f>C29</f>
        <v>g</v>
      </c>
      <c r="G32" s="312" t="str">
        <f>F32</f>
        <v>g</v>
      </c>
      <c r="H32" s="312" t="str">
        <f>G32</f>
        <v>g</v>
      </c>
      <c r="I32" s="312" t="str">
        <f>H32</f>
        <v>g</v>
      </c>
      <c r="J32" s="265"/>
      <c r="K32" s="267"/>
      <c r="L32" s="265"/>
    </row>
    <row r="33" spans="1:19" ht="15.75" thickBot="1">
      <c r="A33" s="388">
        <v>1</v>
      </c>
      <c r="B33" s="650">
        <f>Hoja_de_registro!M21</f>
        <v>0</v>
      </c>
      <c r="C33" s="651">
        <f>Hoja_de_registro!P21</f>
        <v>0</v>
      </c>
      <c r="D33" s="381"/>
      <c r="E33" s="601"/>
      <c r="F33" s="683">
        <f>Hoja_de_registro!D29</f>
        <v>0</v>
      </c>
      <c r="G33" s="683">
        <f>Hoja_de_registro!G29</f>
        <v>0</v>
      </c>
      <c r="H33" s="683">
        <f>Hoja_de_registro!J29</f>
        <v>0</v>
      </c>
      <c r="I33" s="683">
        <f>Hoja_de_registro!M29</f>
        <v>0</v>
      </c>
      <c r="J33" s="265"/>
      <c r="K33" s="268"/>
      <c r="L33" s="265"/>
    </row>
    <row r="34" spans="1:19" ht="15.75" thickBot="1">
      <c r="A34" s="389">
        <v>2</v>
      </c>
      <c r="B34" s="650">
        <f>Hoja_de_registro!M22</f>
        <v>0</v>
      </c>
      <c r="C34" s="651">
        <f>Hoja_de_registro!P22</f>
        <v>0</v>
      </c>
      <c r="D34" s="381"/>
      <c r="E34" s="381"/>
      <c r="F34" s="683">
        <f>Hoja_de_registro!D30</f>
        <v>0</v>
      </c>
      <c r="G34" s="683">
        <f>Hoja_de_registro!G30</f>
        <v>0</v>
      </c>
      <c r="H34" s="683">
        <f>Hoja_de_registro!J30</f>
        <v>0</v>
      </c>
      <c r="I34" s="683">
        <f>Hoja_de_registro!M30</f>
        <v>0</v>
      </c>
      <c r="J34" s="265"/>
      <c r="K34" s="268"/>
      <c r="L34" s="265"/>
    </row>
    <row r="35" spans="1:19" ht="15.75" thickBot="1">
      <c r="A35" s="389">
        <v>3</v>
      </c>
      <c r="B35" s="650">
        <f>Hoja_de_registro!M23</f>
        <v>0</v>
      </c>
      <c r="C35" s="651">
        <f>Hoja_de_registro!P23</f>
        <v>0</v>
      </c>
      <c r="D35" s="381"/>
      <c r="E35" s="381"/>
      <c r="F35" s="683">
        <f>Hoja_de_registro!D31</f>
        <v>0</v>
      </c>
      <c r="G35" s="683">
        <f>Hoja_de_registro!G31</f>
        <v>0</v>
      </c>
      <c r="H35" s="683">
        <f>Hoja_de_registro!J31</f>
        <v>0</v>
      </c>
      <c r="I35" s="683">
        <f>Hoja_de_registro!M31</f>
        <v>0</v>
      </c>
      <c r="J35" s="265"/>
      <c r="K35" s="268"/>
      <c r="L35" s="265"/>
    </row>
    <row r="36" spans="1:19" ht="15.75" thickBot="1">
      <c r="A36" s="389">
        <v>4</v>
      </c>
      <c r="B36" s="650">
        <f>Hoja_de_registro!M24</f>
        <v>0</v>
      </c>
      <c r="C36" s="651">
        <f>Hoja_de_registro!P24</f>
        <v>0</v>
      </c>
      <c r="D36" s="381"/>
      <c r="E36" s="381"/>
      <c r="F36" s="683">
        <f>Hoja_de_registro!D32</f>
        <v>0</v>
      </c>
      <c r="G36" s="683">
        <f>Hoja_de_registro!G32</f>
        <v>0</v>
      </c>
      <c r="H36" s="683">
        <f>Hoja_de_registro!J32</f>
        <v>0</v>
      </c>
      <c r="I36" s="683">
        <f>Hoja_de_registro!M32</f>
        <v>0</v>
      </c>
      <c r="J36" s="265"/>
      <c r="K36" s="268"/>
      <c r="L36" s="265"/>
    </row>
    <row r="37" spans="1:19" ht="15.75" thickBot="1">
      <c r="A37" s="390">
        <v>5</v>
      </c>
      <c r="B37" s="650">
        <f>Hoja_de_registro!M25</f>
        <v>0</v>
      </c>
      <c r="C37" s="651">
        <f>Hoja_de_registro!P25</f>
        <v>0</v>
      </c>
      <c r="D37" s="381"/>
      <c r="E37" s="381"/>
      <c r="F37" s="683">
        <f>Hoja_de_registro!D33</f>
        <v>0</v>
      </c>
      <c r="G37" s="683">
        <f>Hoja_de_registro!G33</f>
        <v>0</v>
      </c>
      <c r="H37" s="683">
        <f>Hoja_de_registro!J33</f>
        <v>0</v>
      </c>
      <c r="I37" s="683">
        <f>Hoja_de_registro!M33</f>
        <v>0</v>
      </c>
      <c r="J37" s="265"/>
      <c r="K37" s="268"/>
      <c r="L37" s="265"/>
    </row>
    <row r="38" spans="1:19" ht="16.5" customHeight="1" thickBot="1">
      <c r="A38" s="840" t="s">
        <v>156</v>
      </c>
      <c r="B38" s="841"/>
      <c r="C38" s="841"/>
      <c r="D38" s="841"/>
      <c r="E38" s="841"/>
      <c r="F38" s="841"/>
      <c r="G38" s="841"/>
      <c r="H38" s="841"/>
      <c r="I38" s="842"/>
      <c r="J38" s="265"/>
      <c r="K38" s="833"/>
      <c r="L38" s="833"/>
      <c r="M38" s="833"/>
      <c r="N38" s="833"/>
    </row>
    <row r="39" spans="1:19" ht="14.25" thickTop="1" thickBot="1">
      <c r="A39" s="271"/>
      <c r="G39" s="265"/>
      <c r="H39" s="265"/>
      <c r="I39" s="274"/>
      <c r="J39" s="265"/>
      <c r="K39" s="403"/>
      <c r="L39" s="403"/>
      <c r="M39" s="403"/>
      <c r="N39" s="403"/>
      <c r="O39" s="399"/>
    </row>
    <row r="40" spans="1:19" ht="51.75" customHeight="1" thickBot="1">
      <c r="A40" s="755" t="s">
        <v>53</v>
      </c>
      <c r="B40" s="756"/>
      <c r="C40" s="757"/>
      <c r="D40" s="761" t="s">
        <v>44</v>
      </c>
      <c r="E40" s="762"/>
      <c r="F40" s="758" t="s">
        <v>34</v>
      </c>
      <c r="G40" s="759"/>
      <c r="H40" s="759"/>
      <c r="I40" s="760"/>
      <c r="J40" s="270"/>
      <c r="K40" s="404"/>
      <c r="L40" s="404"/>
      <c r="M40" s="404"/>
      <c r="N40" s="404"/>
      <c r="S40" s="405"/>
    </row>
    <row r="41" spans="1:19" ht="15" thickBot="1">
      <c r="A41" s="63" t="s">
        <v>30</v>
      </c>
      <c r="B41" s="63" t="s">
        <v>67</v>
      </c>
      <c r="C41" s="63" t="s">
        <v>68</v>
      </c>
      <c r="D41" s="798" t="s">
        <v>160</v>
      </c>
      <c r="E41" s="799"/>
      <c r="F41" s="269" t="s">
        <v>158</v>
      </c>
      <c r="G41" s="269" t="s">
        <v>157</v>
      </c>
      <c r="H41" s="751" t="s">
        <v>35</v>
      </c>
      <c r="I41" s="752"/>
      <c r="K41" s="404"/>
      <c r="L41" s="404"/>
      <c r="M41" s="404"/>
      <c r="N41" s="404"/>
    </row>
    <row r="42" spans="1:19" ht="13.5" thickBot="1">
      <c r="A42" s="63" t="str">
        <f>C5</f>
        <v>g</v>
      </c>
      <c r="B42" s="312" t="str">
        <f>A42</f>
        <v>g</v>
      </c>
      <c r="C42" s="63" t="str">
        <f>B42</f>
        <v>g</v>
      </c>
      <c r="D42" s="763" t="s">
        <v>73</v>
      </c>
      <c r="E42" s="764"/>
      <c r="F42" s="344" t="s">
        <v>73</v>
      </c>
      <c r="G42" s="345" t="str">
        <f>F42</f>
        <v>g</v>
      </c>
      <c r="H42" s="753" t="str">
        <f>F42</f>
        <v>g</v>
      </c>
      <c r="I42" s="754"/>
      <c r="J42" s="409" t="s">
        <v>164</v>
      </c>
      <c r="K42" s="404"/>
      <c r="L42" s="404"/>
      <c r="M42" s="404"/>
      <c r="N42" s="404"/>
    </row>
    <row r="43" spans="1:19" ht="13.5" thickBot="1">
      <c r="A43" s="634" t="e">
        <f>VLOOKUP(B5,LIN!A2:F19,2,0)</f>
        <v>#N/A</v>
      </c>
      <c r="B43" s="652">
        <f>F33</f>
        <v>0</v>
      </c>
      <c r="C43" s="653">
        <f>AVERAGE(G33,H33,I33)</f>
        <v>0</v>
      </c>
      <c r="D43" s="777" t="e">
        <f>VLOOKUP(A43,A58:H118,8,0)</f>
        <v>#N/A</v>
      </c>
      <c r="E43" s="778"/>
      <c r="F43" s="599" t="e">
        <f>VLOOKUP(A43,MC!A4:C40,2,0)</f>
        <v>#N/A</v>
      </c>
      <c r="G43" s="600" t="e">
        <f>VLOOKUP(A43,MC!A4:C40,3,0)</f>
        <v>#N/A</v>
      </c>
      <c r="H43" s="737" t="e">
        <f>(VLOOKUP(A43,EMT!B2:G72,6,0)/3)/1000</f>
        <v>#N/A</v>
      </c>
      <c r="I43" s="738"/>
      <c r="J43" s="409" t="s">
        <v>322</v>
      </c>
      <c r="K43" s="404"/>
      <c r="L43" s="404"/>
      <c r="M43" s="404"/>
      <c r="N43" s="404"/>
    </row>
    <row r="44" spans="1:19" ht="13.5" thickBot="1">
      <c r="A44" s="634" t="e">
        <f>VLOOKUP(B5,LIN!A2:F19,3,0)</f>
        <v>#N/A</v>
      </c>
      <c r="B44" s="652">
        <f>F34</f>
        <v>0</v>
      </c>
      <c r="C44" s="653">
        <f>AVERAGE(G34,H34,I34)</f>
        <v>0</v>
      </c>
      <c r="D44" s="777" t="e">
        <f>VLOOKUP(A44,A58:I118,8,0)</f>
        <v>#N/A</v>
      </c>
      <c r="E44" s="778"/>
      <c r="F44" s="599" t="e">
        <f>VLOOKUP(A44,MC!A4:C40,2,0)</f>
        <v>#N/A</v>
      </c>
      <c r="G44" s="659" t="e">
        <f>VLOOKUP(A44,MC!A4:C40,3,0)</f>
        <v>#N/A</v>
      </c>
      <c r="H44" s="737" t="e">
        <f>(VLOOKUP(A44,EMT!B2:G72,6,0)/3)/1000</f>
        <v>#N/A</v>
      </c>
      <c r="I44" s="738"/>
      <c r="J44" s="409" t="s">
        <v>322</v>
      </c>
      <c r="K44" s="404"/>
      <c r="L44" s="404"/>
      <c r="M44" s="404"/>
      <c r="N44" s="404"/>
    </row>
    <row r="45" spans="1:19" ht="13.5" thickBot="1">
      <c r="A45" s="634" t="e">
        <f>VLOOKUP(B5,LIN!A2:F19,4,0)</f>
        <v>#N/A</v>
      </c>
      <c r="B45" s="652">
        <f>F35</f>
        <v>0</v>
      </c>
      <c r="C45" s="653">
        <f>AVERAGE(G35,H35,I35)</f>
        <v>0</v>
      </c>
      <c r="D45" s="779" t="e">
        <f>VLOOKUP(A45,A58:I118,8,0)</f>
        <v>#N/A</v>
      </c>
      <c r="E45" s="780"/>
      <c r="F45" s="599" t="e">
        <f>VLOOKUP(A45,MC!A4:C40,2,0)</f>
        <v>#N/A</v>
      </c>
      <c r="G45" s="659" t="e">
        <f>VLOOKUP(A45,MC!A4:C40,3,0)</f>
        <v>#N/A</v>
      </c>
      <c r="H45" s="737" t="e">
        <f>(VLOOKUP(A45,EMT!B2:G72,6,0)/3)/1000</f>
        <v>#N/A</v>
      </c>
      <c r="I45" s="738"/>
      <c r="J45" s="409" t="s">
        <v>322</v>
      </c>
      <c r="K45" s="404"/>
      <c r="L45" s="404">
        <v>-0.28000000000000003</v>
      </c>
      <c r="M45" s="404">
        <f>L45/1000</f>
        <v>-2.8000000000000003E-4</v>
      </c>
      <c r="N45" s="717"/>
      <c r="O45" s="717"/>
    </row>
    <row r="46" spans="1:19" ht="13.5" thickBot="1">
      <c r="A46" s="634" t="e">
        <f>VLOOKUP(B5,LIN!A2:F19,5,0)</f>
        <v>#N/A</v>
      </c>
      <c r="B46" s="652">
        <f>F36</f>
        <v>0</v>
      </c>
      <c r="C46" s="653">
        <f>AVERAGE(G36,H36,I36)</f>
        <v>0</v>
      </c>
      <c r="D46" s="779" t="e">
        <f>VLOOKUP(A46,A58:I118,8,0)</f>
        <v>#N/A</v>
      </c>
      <c r="E46" s="780"/>
      <c r="F46" s="599" t="e">
        <f>VLOOKUP(A46,MC!A4:C40,2,0)</f>
        <v>#N/A</v>
      </c>
      <c r="G46" s="600" t="e">
        <f>VLOOKUP(A46,MC!A4:C40,3,0)</f>
        <v>#N/A</v>
      </c>
      <c r="H46" s="737" t="e">
        <f>(VLOOKUP(A46,EMT!B2:G72,6,0)/3)/1000</f>
        <v>#N/A</v>
      </c>
      <c r="I46" s="738"/>
      <c r="J46" s="409" t="s">
        <v>322</v>
      </c>
      <c r="K46" s="404"/>
      <c r="L46" s="404">
        <v>-0.23</v>
      </c>
      <c r="M46" s="404">
        <f>L46/1000</f>
        <v>-2.3000000000000001E-4</v>
      </c>
      <c r="N46" s="404"/>
    </row>
    <row r="47" spans="1:19" ht="13.5" thickBot="1">
      <c r="A47" s="634" t="e">
        <f>VLOOKUP(B5,LIN!A2:F19,6,0)</f>
        <v>#N/A</v>
      </c>
      <c r="B47" s="652">
        <f>F37</f>
        <v>0</v>
      </c>
      <c r="C47" s="653">
        <f>AVERAGE(G37,H37,I37)</f>
        <v>0</v>
      </c>
      <c r="D47" s="779" t="e">
        <f>VLOOKUP(A47,A58:I118,8,0)</f>
        <v>#N/A</v>
      </c>
      <c r="E47" s="780"/>
      <c r="F47" s="599" t="e">
        <f>VLOOKUP(A47,MC!A4:C40,2,0)</f>
        <v>#N/A</v>
      </c>
      <c r="G47" s="600" t="e">
        <f>VLOOKUP(A47,MC!A4:C40,3,0)</f>
        <v>#N/A</v>
      </c>
      <c r="H47" s="737" t="e">
        <f>(VLOOKUP(A47,EMT!B2:G72,6,0)/3)/1000</f>
        <v>#N/A</v>
      </c>
      <c r="I47" s="738"/>
      <c r="J47" s="409" t="s">
        <v>322</v>
      </c>
      <c r="K47" s="404"/>
      <c r="L47" s="404">
        <v>-0.09</v>
      </c>
      <c r="M47" s="404">
        <f>L47/1000</f>
        <v>-8.9999999999999992E-5</v>
      </c>
      <c r="N47" s="404"/>
    </row>
    <row r="48" spans="1:19" ht="13.5" thickBot="1">
      <c r="A48" s="634">
        <f>B5*50%</f>
        <v>0</v>
      </c>
      <c r="B48" s="594">
        <v>0</v>
      </c>
      <c r="C48" s="602">
        <v>2999.6</v>
      </c>
      <c r="D48" s="775" t="e">
        <f>VLOOKUP(A48,A59:I119,8,0)</f>
        <v>#N/A</v>
      </c>
      <c r="E48" s="776"/>
      <c r="F48" s="595" t="e">
        <f>VLOOKUP(A48,MC!A5:C39,2,0)</f>
        <v>#N/A</v>
      </c>
      <c r="G48" s="596" t="e">
        <f>VLOOKUP(A48,MC!A5:C39,3,0)</f>
        <v>#N/A</v>
      </c>
      <c r="H48" s="727" t="e">
        <f>(VLOOKUP(A48,EMT!B3:G73,4,0)/3)/1000</f>
        <v>#N/A</v>
      </c>
      <c r="I48" s="728"/>
      <c r="J48" s="409" t="s">
        <v>322</v>
      </c>
      <c r="K48" s="404"/>
      <c r="L48" s="404">
        <v>-0.33</v>
      </c>
      <c r="M48" s="404">
        <f>L48/1000</f>
        <v>-3.3E-4</v>
      </c>
      <c r="N48" s="404"/>
    </row>
    <row r="49" spans="1:14" ht="13.5" thickBot="1">
      <c r="A49" s="634">
        <f>B5*60%</f>
        <v>0</v>
      </c>
      <c r="B49" s="594">
        <v>0</v>
      </c>
      <c r="C49" s="602">
        <v>3600</v>
      </c>
      <c r="D49" s="775" t="e">
        <f>VLOOKUP(A49,A60:I120,8,0)</f>
        <v>#N/A</v>
      </c>
      <c r="E49" s="776"/>
      <c r="F49" s="595" t="e">
        <f>VLOOKUP(A49,MC!A6:C40,2,0)</f>
        <v>#N/A</v>
      </c>
      <c r="G49" s="596" t="e">
        <f>VLOOKUP(A49,MC!A6:C40,3,0)</f>
        <v>#N/A</v>
      </c>
      <c r="H49" s="727" t="e">
        <f>(VLOOKUP(A49,EMT!B4:G74,4,0)/3)/1000</f>
        <v>#N/A</v>
      </c>
      <c r="I49" s="728"/>
      <c r="J49" s="409" t="s">
        <v>322</v>
      </c>
      <c r="K49" s="404"/>
      <c r="L49" s="404"/>
      <c r="M49" s="404"/>
      <c r="N49" s="404"/>
    </row>
    <row r="50" spans="1:14" ht="13.5" thickBot="1">
      <c r="A50" s="634">
        <f>B5*70%</f>
        <v>0</v>
      </c>
      <c r="B50" s="594">
        <v>0</v>
      </c>
      <c r="C50" s="602">
        <v>4200</v>
      </c>
      <c r="D50" s="775" t="e">
        <f>VLOOKUP(A50,A62:I121,8,0)</f>
        <v>#N/A</v>
      </c>
      <c r="E50" s="776"/>
      <c r="F50" s="595" t="e">
        <f>VLOOKUP(A50,MC!A8:C41,2,0)</f>
        <v>#N/A</v>
      </c>
      <c r="G50" s="596" t="e">
        <f>VLOOKUP(A50,MC!A8:C41,3,0)</f>
        <v>#N/A</v>
      </c>
      <c r="H50" s="727" t="e">
        <f>(VLOOKUP(A50,EMT!B6:G75,4,0)/3)/1000</f>
        <v>#N/A</v>
      </c>
      <c r="I50" s="728"/>
      <c r="J50" s="409" t="s">
        <v>322</v>
      </c>
      <c r="K50" s="404"/>
      <c r="L50" s="404"/>
      <c r="M50" s="404"/>
      <c r="N50" s="404"/>
    </row>
    <row r="51" spans="1:14" ht="13.5" thickBot="1">
      <c r="A51" s="634">
        <f>B5*80%</f>
        <v>0</v>
      </c>
      <c r="B51" s="594">
        <v>0</v>
      </c>
      <c r="C51" s="602">
        <v>4799.3999999999996</v>
      </c>
      <c r="D51" s="775" t="e">
        <f>VLOOKUP(A51,A64:I122,8,0)</f>
        <v>#N/A</v>
      </c>
      <c r="E51" s="776"/>
      <c r="F51" s="595" t="e">
        <f>VLOOKUP(A51,MC!A10:C42,2,0)</f>
        <v>#N/A</v>
      </c>
      <c r="G51" s="596" t="e">
        <f>VLOOKUP(A51,MC!A10:C42,3,0)</f>
        <v>#N/A</v>
      </c>
      <c r="H51" s="727" t="e">
        <f>(VLOOKUP(A51,EMT!B8:G76,4,0)/3)/1000</f>
        <v>#N/A</v>
      </c>
      <c r="I51" s="728"/>
      <c r="J51" s="409" t="s">
        <v>322</v>
      </c>
      <c r="K51" s="404"/>
      <c r="L51" s="404"/>
      <c r="M51" s="404"/>
      <c r="N51" s="404"/>
    </row>
    <row r="52" spans="1:14" ht="13.5" thickBot="1">
      <c r="A52" s="634">
        <f>B5*90%</f>
        <v>0</v>
      </c>
      <c r="B52" s="594">
        <v>0</v>
      </c>
      <c r="C52" s="602">
        <v>5400</v>
      </c>
      <c r="D52" s="775" t="e">
        <f>VLOOKUP(A52,A65:I123,8,0)</f>
        <v>#N/A</v>
      </c>
      <c r="E52" s="776"/>
      <c r="F52" s="595" t="e">
        <f>VLOOKUP(A52,MC!A11:C43,2,0)</f>
        <v>#N/A</v>
      </c>
      <c r="G52" s="596" t="e">
        <f>VLOOKUP(A52,MC!A11:C43,3,0)</f>
        <v>#N/A</v>
      </c>
      <c r="H52" s="727" t="e">
        <f>(VLOOKUP(A52,EMT!B9:G77,4,0)/3)/1000</f>
        <v>#N/A</v>
      </c>
      <c r="I52" s="728"/>
      <c r="J52" s="409" t="s">
        <v>322</v>
      </c>
      <c r="K52" s="404"/>
      <c r="L52" s="404"/>
      <c r="M52" s="404"/>
      <c r="N52" s="404"/>
    </row>
    <row r="53" spans="1:14" ht="13.5" thickBot="1">
      <c r="A53" s="635">
        <f>B5*100%</f>
        <v>0</v>
      </c>
      <c r="B53" s="597">
        <v>0</v>
      </c>
      <c r="C53" s="603">
        <v>5999.2</v>
      </c>
      <c r="D53" s="775" t="e">
        <f>VLOOKUP(A53,A66:I124,8,0)</f>
        <v>#N/A</v>
      </c>
      <c r="E53" s="776"/>
      <c r="F53" s="595" t="e">
        <f>VLOOKUP(A53,MC!A12:C44,2,0)</f>
        <v>#N/A</v>
      </c>
      <c r="G53" s="596" t="e">
        <f>VLOOKUP(A53,MC!A12:C44,3,0)</f>
        <v>#N/A</v>
      </c>
      <c r="H53" s="727" t="e">
        <f>(VLOOKUP(A53,EMT!B10:G78,4,0)/3)/1000</f>
        <v>#N/A</v>
      </c>
      <c r="I53" s="728"/>
      <c r="J53" s="409" t="s">
        <v>322</v>
      </c>
    </row>
    <row r="54" spans="1:14" ht="13.5" thickBot="1">
      <c r="A54" s="734"/>
      <c r="B54" s="735"/>
      <c r="C54" s="735"/>
      <c r="D54" s="735"/>
      <c r="E54" s="735"/>
      <c r="F54" s="735"/>
      <c r="G54" s="735"/>
      <c r="H54" s="735"/>
      <c r="I54" s="736"/>
    </row>
    <row r="55" spans="1:14" ht="13.5" thickBot="1">
      <c r="A55" s="742" t="s">
        <v>150</v>
      </c>
      <c r="B55" s="743"/>
      <c r="C55" s="743"/>
      <c r="D55" s="743"/>
      <c r="E55" s="743"/>
      <c r="F55" s="743"/>
      <c r="G55" s="743"/>
      <c r="H55" s="743"/>
      <c r="I55" s="744"/>
    </row>
    <row r="56" spans="1:14" ht="13.5" thickBot="1">
      <c r="A56" s="732" t="s">
        <v>72</v>
      </c>
      <c r="B56" s="739" t="s">
        <v>151</v>
      </c>
      <c r="C56" s="740"/>
      <c r="D56" s="740"/>
      <c r="E56" s="740"/>
      <c r="F56" s="740"/>
      <c r="G56" s="740"/>
      <c r="H56" s="740"/>
      <c r="I56" s="741"/>
    </row>
    <row r="57" spans="1:14">
      <c r="A57" s="733"/>
      <c r="B57" s="566">
        <v>20</v>
      </c>
      <c r="C57" s="566">
        <v>15</v>
      </c>
      <c r="D57" s="564">
        <v>10</v>
      </c>
      <c r="E57" s="537">
        <v>7</v>
      </c>
      <c r="F57" s="564">
        <v>5</v>
      </c>
      <c r="G57" s="537">
        <v>3</v>
      </c>
      <c r="H57" s="564">
        <v>2</v>
      </c>
      <c r="I57" s="537">
        <v>1</v>
      </c>
    </row>
    <row r="58" spans="1:14">
      <c r="A58" s="565">
        <f>+A60+A60</f>
        <v>2000000</v>
      </c>
      <c r="B58" s="567"/>
      <c r="C58" s="567"/>
      <c r="D58" s="568"/>
      <c r="E58" s="568"/>
      <c r="F58" s="568"/>
      <c r="G58" s="568"/>
      <c r="H58" s="568">
        <f>+H60+H60</f>
        <v>0.57200000000000006</v>
      </c>
      <c r="I58" s="568"/>
    </row>
    <row r="59" spans="1:14">
      <c r="A59" s="565">
        <f>+A60+A64</f>
        <v>1500000</v>
      </c>
      <c r="B59" s="664"/>
      <c r="C59" s="664"/>
      <c r="D59" s="655"/>
      <c r="E59" s="655"/>
      <c r="F59" s="655"/>
      <c r="G59" s="655"/>
      <c r="H59" s="655">
        <f>+H60+H64</f>
        <v>0.42900000000000005</v>
      </c>
      <c r="I59" s="568"/>
    </row>
    <row r="60" spans="1:14">
      <c r="A60" s="565">
        <f>+A64+A64</f>
        <v>1000000</v>
      </c>
      <c r="B60" s="664"/>
      <c r="C60" s="664"/>
      <c r="D60" s="655"/>
      <c r="E60" s="655"/>
      <c r="F60" s="655"/>
      <c r="G60" s="655"/>
      <c r="H60" s="655">
        <f>+H64+H64</f>
        <v>0.28600000000000003</v>
      </c>
      <c r="I60" s="568"/>
    </row>
    <row r="61" spans="1:14">
      <c r="A61" s="565">
        <f>+A64+A66</f>
        <v>800000</v>
      </c>
      <c r="B61" s="655"/>
      <c r="C61" s="655"/>
      <c r="D61" s="655"/>
      <c r="E61" s="655"/>
      <c r="F61" s="655"/>
      <c r="G61" s="655"/>
      <c r="H61" s="655">
        <f t="shared" ref="H61" si="0">+H64+H66</f>
        <v>0.2288</v>
      </c>
      <c r="I61" s="568"/>
    </row>
    <row r="62" spans="1:14">
      <c r="A62" s="565">
        <f>+A64+A67</f>
        <v>750000</v>
      </c>
      <c r="B62" s="664"/>
      <c r="C62" s="664"/>
      <c r="D62" s="655"/>
      <c r="E62" s="655"/>
      <c r="F62" s="655"/>
      <c r="G62" s="655"/>
      <c r="H62" s="655">
        <f>+H64+H67</f>
        <v>0.21450000000000002</v>
      </c>
      <c r="I62" s="568"/>
    </row>
    <row r="63" spans="1:14">
      <c r="A63" s="565">
        <f>+A64+A74</f>
        <v>600000</v>
      </c>
      <c r="B63" s="655"/>
      <c r="C63" s="655"/>
      <c r="D63" s="655"/>
      <c r="E63" s="655"/>
      <c r="F63" s="655"/>
      <c r="G63" s="655"/>
      <c r="H63" s="655">
        <f t="shared" ref="H63" si="1">+H64+H74</f>
        <v>0.17160000000000003</v>
      </c>
      <c r="I63" s="568"/>
    </row>
    <row r="64" spans="1:14">
      <c r="A64" s="565">
        <f>+A66+A69</f>
        <v>500000</v>
      </c>
      <c r="B64" s="664"/>
      <c r="C64" s="664"/>
      <c r="D64" s="655"/>
      <c r="E64" s="655"/>
      <c r="F64" s="655"/>
      <c r="G64" s="655"/>
      <c r="H64" s="655">
        <f>+H66+H69</f>
        <v>0.14300000000000002</v>
      </c>
      <c r="I64" s="568"/>
    </row>
    <row r="65" spans="1:9">
      <c r="A65" s="565">
        <f>A66+A74</f>
        <v>400000</v>
      </c>
      <c r="B65" s="664"/>
      <c r="C65" s="664"/>
      <c r="D65" s="655"/>
      <c r="E65" s="655"/>
      <c r="F65" s="655"/>
      <c r="G65" s="655"/>
      <c r="H65" s="655">
        <f>+H66+H74</f>
        <v>0.1144</v>
      </c>
      <c r="I65" s="568"/>
    </row>
    <row r="66" spans="1:9">
      <c r="A66" s="565">
        <f>+A69+A74</f>
        <v>300000</v>
      </c>
      <c r="B66" s="664"/>
      <c r="C66" s="664"/>
      <c r="D66" s="655"/>
      <c r="E66" s="655"/>
      <c r="F66" s="655"/>
      <c r="G66" s="655"/>
      <c r="H66" s="655">
        <f>+H69+H74</f>
        <v>8.5800000000000001E-2</v>
      </c>
      <c r="I66" s="568"/>
    </row>
    <row r="67" spans="1:9">
      <c r="A67" s="565">
        <f>+A69+A78</f>
        <v>250000</v>
      </c>
      <c r="B67" s="664"/>
      <c r="C67" s="664"/>
      <c r="D67" s="655"/>
      <c r="E67" s="655"/>
      <c r="F67" s="655"/>
      <c r="G67" s="655"/>
      <c r="H67" s="655">
        <f>+H69+H78</f>
        <v>7.1500000000000008E-2</v>
      </c>
      <c r="I67" s="568"/>
    </row>
    <row r="68" spans="1:9">
      <c r="A68" s="565">
        <f>+A69+A81</f>
        <v>225000</v>
      </c>
      <c r="B68" s="664"/>
      <c r="C68" s="664"/>
      <c r="D68" s="655"/>
      <c r="E68" s="655"/>
      <c r="F68" s="655"/>
      <c r="G68" s="655"/>
      <c r="H68" s="655">
        <f>+H69+H81</f>
        <v>6.5579999999999999E-2</v>
      </c>
      <c r="I68" s="568"/>
    </row>
    <row r="69" spans="1:9">
      <c r="A69" s="565">
        <f>+A74+A74</f>
        <v>200000</v>
      </c>
      <c r="B69" s="664"/>
      <c r="C69" s="664"/>
      <c r="D69" s="655"/>
      <c r="E69" s="655"/>
      <c r="F69" s="655"/>
      <c r="G69" s="655"/>
      <c r="H69" s="655">
        <f>+H74+H74</f>
        <v>5.7200000000000001E-2</v>
      </c>
      <c r="I69" s="568"/>
    </row>
    <row r="70" spans="1:9">
      <c r="A70" s="565">
        <f>+A74+A78</f>
        <v>150000</v>
      </c>
      <c r="B70" s="567"/>
      <c r="C70" s="567"/>
      <c r="D70" s="568"/>
      <c r="E70" s="568"/>
      <c r="F70" s="568"/>
      <c r="G70" s="568"/>
      <c r="H70" s="568">
        <f>+H74+H78</f>
        <v>4.2900000000000001E-2</v>
      </c>
      <c r="I70" s="568"/>
    </row>
    <row r="71" spans="1:9">
      <c r="A71" s="565">
        <f>+A73+A83</f>
        <v>140000</v>
      </c>
      <c r="B71" s="656"/>
      <c r="C71" s="656"/>
      <c r="D71" s="656"/>
      <c r="E71" s="656"/>
      <c r="F71" s="656"/>
      <c r="G71" s="656"/>
      <c r="H71" s="655">
        <f t="shared" ref="H71" si="2">+H73+H83</f>
        <v>4.1440000000000005E-2</v>
      </c>
      <c r="I71" s="568"/>
    </row>
    <row r="72" spans="1:9">
      <c r="A72" s="565">
        <f>+A74+A81</f>
        <v>125000</v>
      </c>
      <c r="B72" s="567"/>
      <c r="C72" s="567"/>
      <c r="D72" s="568"/>
      <c r="E72" s="568"/>
      <c r="F72" s="568"/>
      <c r="G72" s="568"/>
      <c r="H72" s="568">
        <f>+H74+H81</f>
        <v>3.6979999999999999E-2</v>
      </c>
      <c r="I72" s="568"/>
    </row>
    <row r="73" spans="1:9">
      <c r="A73" s="565">
        <f>+A74+A83</f>
        <v>120000</v>
      </c>
      <c r="B73" s="655"/>
      <c r="C73" s="655"/>
      <c r="D73" s="655"/>
      <c r="E73" s="655"/>
      <c r="F73" s="655"/>
      <c r="G73" s="655"/>
      <c r="H73" s="655">
        <f t="shared" ref="H73" si="3">+H74+H83</f>
        <v>3.5020000000000003E-2</v>
      </c>
      <c r="I73" s="568"/>
    </row>
    <row r="74" spans="1:9">
      <c r="A74" s="565">
        <f>+A78+A78</f>
        <v>100000</v>
      </c>
      <c r="B74" s="567"/>
      <c r="C74" s="567"/>
      <c r="D74" s="568"/>
      <c r="E74" s="568"/>
      <c r="F74" s="568"/>
      <c r="G74" s="568"/>
      <c r="H74" s="568">
        <f>+H78+H78</f>
        <v>2.86E-2</v>
      </c>
      <c r="I74" s="568"/>
    </row>
    <row r="75" spans="1:9">
      <c r="A75" s="565">
        <f>+A77+A83</f>
        <v>80000</v>
      </c>
      <c r="B75" s="567"/>
      <c r="C75" s="567"/>
      <c r="D75" s="568"/>
      <c r="E75" s="568"/>
      <c r="F75" s="568"/>
      <c r="G75" s="568"/>
      <c r="H75" s="568">
        <f>+H77+H83</f>
        <v>2.4250000000000001E-2</v>
      </c>
      <c r="I75" s="568"/>
    </row>
    <row r="76" spans="1:9">
      <c r="A76" s="565">
        <f>+A78+A81</f>
        <v>75000</v>
      </c>
      <c r="B76" s="567"/>
      <c r="C76" s="567"/>
      <c r="D76" s="568"/>
      <c r="E76" s="568"/>
      <c r="F76" s="568"/>
      <c r="G76" s="568"/>
      <c r="H76" s="568">
        <f>+H78+H81</f>
        <v>2.2679999999999999E-2</v>
      </c>
      <c r="I76" s="568"/>
    </row>
    <row r="77" spans="1:9">
      <c r="A77" s="565">
        <f>+A78+A87</f>
        <v>60000</v>
      </c>
      <c r="B77" s="567"/>
      <c r="C77" s="567"/>
      <c r="D77" s="568"/>
      <c r="E77" s="568"/>
      <c r="F77" s="568"/>
      <c r="G77" s="568"/>
      <c r="H77" s="568">
        <f>+H78+H87</f>
        <v>1.7829999999999999E-2</v>
      </c>
      <c r="I77" s="568"/>
    </row>
    <row r="78" spans="1:9">
      <c r="A78" s="569">
        <v>50000</v>
      </c>
      <c r="B78" s="346">
        <v>0.11323</v>
      </c>
      <c r="C78" s="346">
        <v>8.7599999999999997E-2</v>
      </c>
      <c r="D78" s="346">
        <v>6.0229999999999999E-2</v>
      </c>
      <c r="E78" s="346">
        <v>4.3650000000000001E-2</v>
      </c>
      <c r="F78" s="346">
        <v>3.227E-2</v>
      </c>
      <c r="G78" s="346">
        <v>2.0469999999999999E-2</v>
      </c>
      <c r="H78" s="346">
        <v>1.43E-2</v>
      </c>
      <c r="I78" s="346">
        <v>7.79E-3</v>
      </c>
    </row>
    <row r="79" spans="1:9">
      <c r="A79" s="569">
        <f>A83+A83</f>
        <v>40000</v>
      </c>
      <c r="B79" s="346"/>
      <c r="C79" s="346"/>
      <c r="D79" s="346"/>
      <c r="E79" s="346"/>
      <c r="F79" s="346"/>
      <c r="G79" s="346"/>
      <c r="H79" s="346">
        <f>H83+H83</f>
        <v>1.2840000000000001E-2</v>
      </c>
      <c r="I79" s="346"/>
    </row>
    <row r="80" spans="1:9">
      <c r="A80" s="569">
        <f>+A83+A87</f>
        <v>30000</v>
      </c>
      <c r="B80" s="346"/>
      <c r="C80" s="346"/>
      <c r="D80" s="346"/>
      <c r="E80" s="346"/>
      <c r="F80" s="346"/>
      <c r="G80" s="346"/>
      <c r="H80" s="346">
        <f>+H83+H87</f>
        <v>9.9500000000000005E-3</v>
      </c>
      <c r="I80" s="346"/>
    </row>
    <row r="81" spans="1:9">
      <c r="A81" s="569">
        <f>+A83+A90</f>
        <v>25000</v>
      </c>
      <c r="B81" s="346"/>
      <c r="C81" s="346"/>
      <c r="D81" s="346"/>
      <c r="E81" s="346"/>
      <c r="F81" s="346"/>
      <c r="G81" s="346"/>
      <c r="H81" s="346">
        <f>+H83+H90</f>
        <v>8.3800000000000003E-3</v>
      </c>
      <c r="I81" s="346"/>
    </row>
    <row r="82" spans="1:9">
      <c r="A82" s="569">
        <f>+A83+A94</f>
        <v>22500</v>
      </c>
      <c r="B82" s="346"/>
      <c r="C82" s="346"/>
      <c r="D82" s="346"/>
      <c r="E82" s="346"/>
      <c r="F82" s="346"/>
      <c r="G82" s="346"/>
      <c r="H82" s="346">
        <f>+H83+H94</f>
        <v>7.62E-3</v>
      </c>
      <c r="I82" s="346"/>
    </row>
    <row r="83" spans="1:9">
      <c r="A83" s="569">
        <v>20000</v>
      </c>
      <c r="B83" s="346">
        <v>4.9230000000000003E-2</v>
      </c>
      <c r="C83" s="346">
        <v>3.7999999999999999E-2</v>
      </c>
      <c r="D83" s="346">
        <v>2.6429999999999999E-2</v>
      </c>
      <c r="E83" s="346">
        <v>1.925E-2</v>
      </c>
      <c r="F83" s="346">
        <v>1.43E-2</v>
      </c>
      <c r="G83" s="346">
        <v>9.1400000000000006E-3</v>
      </c>
      <c r="H83" s="346">
        <v>6.4200000000000004E-3</v>
      </c>
      <c r="I83" s="346">
        <v>3.5300000000000002E-3</v>
      </c>
    </row>
    <row r="84" spans="1:9">
      <c r="A84" s="569">
        <f>+A87+A90</f>
        <v>15000</v>
      </c>
      <c r="B84" s="346"/>
      <c r="C84" s="346"/>
      <c r="D84" s="346"/>
      <c r="E84" s="346"/>
      <c r="F84" s="346"/>
      <c r="G84" s="346"/>
      <c r="H84" s="346">
        <f>+H87+H90</f>
        <v>5.4900000000000001E-3</v>
      </c>
      <c r="I84" s="346"/>
    </row>
    <row r="85" spans="1:9">
      <c r="A85" s="569">
        <f>+A87+A94</f>
        <v>12500</v>
      </c>
      <c r="B85" s="346"/>
      <c r="C85" s="346"/>
      <c r="D85" s="346"/>
      <c r="E85" s="346"/>
      <c r="F85" s="346"/>
      <c r="G85" s="346"/>
      <c r="H85" s="346">
        <f>+H87+H94</f>
        <v>4.7299999999999998E-3</v>
      </c>
      <c r="I85" s="346"/>
    </row>
    <row r="86" spans="1:9">
      <c r="A86" s="569">
        <f>+A87+A98</f>
        <v>11250</v>
      </c>
      <c r="B86" s="346"/>
      <c r="C86" s="346"/>
      <c r="D86" s="346"/>
      <c r="E86" s="346"/>
      <c r="F86" s="346"/>
      <c r="G86" s="346"/>
      <c r="H86" s="346">
        <f>+H87+H98</f>
        <v>4.2300000000000003E-3</v>
      </c>
      <c r="I86" s="346"/>
    </row>
    <row r="87" spans="1:9">
      <c r="A87" s="569">
        <v>10000</v>
      </c>
      <c r="B87" s="346">
        <v>2.6429999999999999E-2</v>
      </c>
      <c r="C87" s="346">
        <v>2.0469999999999999E-2</v>
      </c>
      <c r="D87" s="346">
        <v>1.43E-2</v>
      </c>
      <c r="E87" s="346">
        <v>1.0449999999999999E-2</v>
      </c>
      <c r="F87" s="346">
        <v>7.79E-3</v>
      </c>
      <c r="G87" s="346">
        <v>5.0099999999999997E-3</v>
      </c>
      <c r="H87" s="346">
        <v>3.5300000000000002E-3</v>
      </c>
      <c r="I87" s="346">
        <v>1.9599999999999999E-3</v>
      </c>
    </row>
    <row r="88" spans="1:9">
      <c r="A88" s="569">
        <f>+A90+A94</f>
        <v>7500</v>
      </c>
      <c r="B88" s="346"/>
      <c r="C88" s="346"/>
      <c r="D88" s="346"/>
      <c r="E88" s="346"/>
      <c r="F88" s="346"/>
      <c r="G88" s="346"/>
      <c r="H88" s="346">
        <f>+H90+H94</f>
        <v>3.16E-3</v>
      </c>
      <c r="I88" s="598"/>
    </row>
    <row r="89" spans="1:9">
      <c r="A89" s="569">
        <f>+A90+A99</f>
        <v>6000</v>
      </c>
      <c r="B89" s="346"/>
      <c r="C89" s="346"/>
      <c r="D89" s="346"/>
      <c r="E89" s="346"/>
      <c r="F89" s="346"/>
      <c r="G89" s="346"/>
      <c r="H89" s="346">
        <f>+H90+H99</f>
        <v>2.47E-3</v>
      </c>
      <c r="I89" s="346"/>
    </row>
    <row r="90" spans="1:9">
      <c r="A90" s="569">
        <v>5000</v>
      </c>
      <c r="B90" s="346">
        <v>1.43E-2</v>
      </c>
      <c r="C90" s="346">
        <v>1.11E-2</v>
      </c>
      <c r="D90" s="346">
        <v>7.4900000000000001E-3</v>
      </c>
      <c r="E90" s="346">
        <v>5.7200000000000003E-3</v>
      </c>
      <c r="F90" s="346">
        <v>4.28E-3</v>
      </c>
      <c r="G90" s="346">
        <v>2.7599999999999999E-3</v>
      </c>
      <c r="H90" s="346">
        <v>1.9599999999999999E-3</v>
      </c>
      <c r="I90" s="346">
        <v>1.09E-3</v>
      </c>
    </row>
    <row r="91" spans="1:9">
      <c r="A91" s="569">
        <f>+A93+A97</f>
        <v>4500</v>
      </c>
      <c r="B91" s="346"/>
      <c r="C91" s="346"/>
      <c r="D91" s="346"/>
      <c r="E91" s="346"/>
      <c r="F91" s="346"/>
      <c r="G91" s="346"/>
      <c r="H91" s="346">
        <f>+H93+H97</f>
        <v>2.2200000000000002E-3</v>
      </c>
      <c r="I91" s="346"/>
    </row>
    <row r="92" spans="1:9">
      <c r="A92" s="569">
        <f>+A93+A100</f>
        <v>3750</v>
      </c>
      <c r="B92" s="346"/>
      <c r="C92" s="346"/>
      <c r="D92" s="346"/>
      <c r="E92" s="346"/>
      <c r="F92" s="346"/>
      <c r="G92" s="346"/>
      <c r="H92" s="346">
        <f>+H93+H100</f>
        <v>1.9E-3</v>
      </c>
      <c r="I92" s="346"/>
    </row>
    <row r="93" spans="1:9">
      <c r="A93" s="569">
        <f>+A96+A99</f>
        <v>3000</v>
      </c>
      <c r="B93" s="346"/>
      <c r="C93" s="346"/>
      <c r="D93" s="346"/>
      <c r="E93" s="346"/>
      <c r="F93" s="346"/>
      <c r="G93" s="346"/>
      <c r="H93" s="346">
        <f>+H96+H99</f>
        <v>1.42E-3</v>
      </c>
      <c r="I93" s="346"/>
    </row>
    <row r="94" spans="1:9">
      <c r="A94" s="569">
        <f>+A96+A102</f>
        <v>2500</v>
      </c>
      <c r="B94" s="346"/>
      <c r="C94" s="346"/>
      <c r="D94" s="346"/>
      <c r="E94" s="346"/>
      <c r="F94" s="346"/>
      <c r="G94" s="346"/>
      <c r="H94" s="346">
        <f>+H96+H102</f>
        <v>1.2000000000000001E-3</v>
      </c>
      <c r="I94" s="346"/>
    </row>
    <row r="95" spans="1:9">
      <c r="A95" s="569">
        <f>+A96+A105</f>
        <v>2250</v>
      </c>
      <c r="B95" s="346"/>
      <c r="C95" s="346"/>
      <c r="D95" s="346"/>
      <c r="E95" s="346"/>
      <c r="F95" s="346"/>
      <c r="G95" s="346"/>
      <c r="H95" s="346">
        <f>+H96+H105</f>
        <v>1.1000000000000001E-3</v>
      </c>
      <c r="I95" s="346"/>
    </row>
    <row r="96" spans="1:9">
      <c r="A96" s="569">
        <v>2000</v>
      </c>
      <c r="B96" s="346">
        <v>6.4200000000000004E-3</v>
      </c>
      <c r="C96" s="346">
        <v>5.0099999999999997E-3</v>
      </c>
      <c r="D96" s="346">
        <v>3.5300000000000002E-3</v>
      </c>
      <c r="E96" s="346">
        <v>2.6099999999999999E-3</v>
      </c>
      <c r="F96" s="346">
        <v>1.9599999999999999E-3</v>
      </c>
      <c r="G96" s="346">
        <v>1.2700000000000001E-3</v>
      </c>
      <c r="H96" s="346">
        <v>9.1E-4</v>
      </c>
      <c r="I96" s="346">
        <v>5.1000000000000004E-4</v>
      </c>
    </row>
    <row r="97" spans="1:9">
      <c r="A97" s="569">
        <f>+A99+A102</f>
        <v>1500</v>
      </c>
      <c r="B97" s="346"/>
      <c r="C97" s="346"/>
      <c r="D97" s="346"/>
      <c r="E97" s="346"/>
      <c r="F97" s="346"/>
      <c r="G97" s="346"/>
      <c r="H97" s="346">
        <f>+H99+H102</f>
        <v>8.0000000000000004E-4</v>
      </c>
      <c r="I97" s="346"/>
    </row>
    <row r="98" spans="1:9">
      <c r="A98" s="569">
        <f>+A99+A105</f>
        <v>1250</v>
      </c>
      <c r="B98" s="346"/>
      <c r="C98" s="346"/>
      <c r="D98" s="346"/>
      <c r="E98" s="346"/>
      <c r="F98" s="346"/>
      <c r="G98" s="346"/>
      <c r="H98" s="346">
        <f>+H99+H105</f>
        <v>6.9999999999999999E-4</v>
      </c>
      <c r="I98" s="346"/>
    </row>
    <row r="99" spans="1:9">
      <c r="A99" s="569">
        <v>1000</v>
      </c>
      <c r="B99" s="346">
        <v>3.5300000000000002E-3</v>
      </c>
      <c r="C99" s="346">
        <v>2.7599999999999999E-3</v>
      </c>
      <c r="D99" s="346">
        <v>1.9599999999999999E-3</v>
      </c>
      <c r="E99" s="346">
        <v>1.4499999999999999E-3</v>
      </c>
      <c r="F99" s="346">
        <v>1.09E-3</v>
      </c>
      <c r="G99" s="346">
        <v>7.2000000000000005E-4</v>
      </c>
      <c r="H99" s="346">
        <v>5.1000000000000004E-4</v>
      </c>
      <c r="I99" s="346">
        <v>2.9E-4</v>
      </c>
    </row>
    <row r="100" spans="1:9">
      <c r="A100" s="569">
        <f>+A102+A105</f>
        <v>750</v>
      </c>
      <c r="B100" s="346"/>
      <c r="C100" s="346"/>
      <c r="D100" s="346"/>
      <c r="E100" s="346"/>
      <c r="F100" s="346"/>
      <c r="G100" s="346"/>
      <c r="H100" s="346">
        <f>+H102+H105</f>
        <v>4.7999999999999996E-4</v>
      </c>
      <c r="I100" s="346"/>
    </row>
    <row r="101" spans="1:9">
      <c r="A101" s="569">
        <f>+A102+A108</f>
        <v>600</v>
      </c>
      <c r="B101" s="346"/>
      <c r="C101" s="346"/>
      <c r="D101" s="346"/>
      <c r="E101" s="346"/>
      <c r="F101" s="346"/>
      <c r="G101" s="346"/>
      <c r="H101" s="346">
        <f>+H102+H108</f>
        <v>3.6999999999999999E-4</v>
      </c>
      <c r="I101" s="346"/>
    </row>
    <row r="102" spans="1:9">
      <c r="A102" s="569">
        <v>500</v>
      </c>
      <c r="B102" s="346">
        <v>1.9599999999999999E-3</v>
      </c>
      <c r="C102" s="346">
        <v>1.5399999999999999E-3</v>
      </c>
      <c r="D102" s="346">
        <v>1.09E-3</v>
      </c>
      <c r="E102" s="346">
        <v>8.0999999999999996E-4</v>
      </c>
      <c r="F102" s="346">
        <v>6.0999999999999997E-4</v>
      </c>
      <c r="G102" s="346">
        <v>4.0000000000000002E-4</v>
      </c>
      <c r="H102" s="346">
        <v>2.9E-4</v>
      </c>
      <c r="I102" s="346">
        <v>1.7000000000000001E-4</v>
      </c>
    </row>
    <row r="103" spans="1:9">
      <c r="A103" s="569">
        <f>+A104+A107</f>
        <v>450</v>
      </c>
      <c r="B103" s="346"/>
      <c r="C103" s="346"/>
      <c r="D103" s="346"/>
      <c r="E103" s="346"/>
      <c r="F103" s="346"/>
      <c r="G103" s="346"/>
      <c r="H103" s="346">
        <f>+H104+H107</f>
        <v>3.5E-4</v>
      </c>
      <c r="I103" s="346"/>
    </row>
    <row r="104" spans="1:9">
      <c r="A104" s="569">
        <f>+A106+A108</f>
        <v>300</v>
      </c>
      <c r="B104" s="598"/>
      <c r="C104" s="598"/>
      <c r="D104" s="598"/>
      <c r="E104" s="598"/>
      <c r="F104" s="598"/>
      <c r="G104" s="598"/>
      <c r="H104" s="346">
        <f>+H106+H108</f>
        <v>2.1999999999999998E-4</v>
      </c>
      <c r="I104" s="598"/>
    </row>
    <row r="105" spans="1:9">
      <c r="A105" s="569">
        <f>+A106+A111</f>
        <v>250</v>
      </c>
      <c r="B105" s="346"/>
      <c r="C105" s="346"/>
      <c r="D105" s="346"/>
      <c r="E105" s="346"/>
      <c r="F105" s="346"/>
      <c r="G105" s="346"/>
      <c r="H105" s="346">
        <f>+H106+H111</f>
        <v>1.8999999999999998E-4</v>
      </c>
      <c r="I105" s="346"/>
    </row>
    <row r="106" spans="1:9">
      <c r="A106" s="569">
        <v>200</v>
      </c>
      <c r="B106" s="346">
        <v>9.1E-4</v>
      </c>
      <c r="C106" s="346">
        <v>7.2000000000000005E-4</v>
      </c>
      <c r="D106" s="346">
        <v>5.1000000000000004E-4</v>
      </c>
      <c r="E106" s="346">
        <v>3.8000000000000002E-4</v>
      </c>
      <c r="F106" s="346">
        <v>2.9E-4</v>
      </c>
      <c r="G106" s="346">
        <v>1.9000000000000001E-4</v>
      </c>
      <c r="H106" s="346">
        <v>1.3999999999999999E-4</v>
      </c>
      <c r="I106" s="346">
        <v>8.0000000000000007E-5</v>
      </c>
    </row>
    <row r="107" spans="1:9">
      <c r="A107" s="569">
        <f>+A108+A111</f>
        <v>150</v>
      </c>
      <c r="B107" s="346"/>
      <c r="C107" s="346"/>
      <c r="D107" s="346"/>
      <c r="E107" s="346"/>
      <c r="F107" s="346"/>
      <c r="G107" s="346"/>
      <c r="H107" s="346">
        <f>+H108+H111</f>
        <v>1.3000000000000002E-4</v>
      </c>
      <c r="I107" s="346"/>
    </row>
    <row r="108" spans="1:9">
      <c r="A108" s="569">
        <v>100</v>
      </c>
      <c r="B108" s="346">
        <v>5.1000000000000004E-4</v>
      </c>
      <c r="C108" s="346">
        <v>4.0000000000000002E-4</v>
      </c>
      <c r="D108" s="346">
        <v>2.9E-4</v>
      </c>
      <c r="E108" s="346">
        <v>2.2000000000000001E-4</v>
      </c>
      <c r="F108" s="346">
        <v>1.7000000000000001E-4</v>
      </c>
      <c r="G108" s="346">
        <v>1.1E-4</v>
      </c>
      <c r="H108" s="346">
        <v>8.0000000000000007E-5</v>
      </c>
      <c r="I108" s="346">
        <v>5.0000000000000002E-5</v>
      </c>
    </row>
    <row r="109" spans="1:9">
      <c r="A109" s="569">
        <f>+A111+A113</f>
        <v>75</v>
      </c>
      <c r="B109" s="346"/>
      <c r="C109" s="346"/>
      <c r="D109" s="346"/>
      <c r="E109" s="346"/>
      <c r="F109" s="346"/>
      <c r="G109" s="346"/>
      <c r="H109" s="346">
        <f>+H111+H113</f>
        <v>7.5000000000000007E-5</v>
      </c>
      <c r="I109" s="346"/>
    </row>
    <row r="110" spans="1:9">
      <c r="A110" s="569">
        <f>+A111+A116</f>
        <v>60</v>
      </c>
      <c r="B110" s="346"/>
      <c r="C110" s="346"/>
      <c r="D110" s="346"/>
      <c r="E110" s="346"/>
      <c r="F110" s="346"/>
      <c r="G110" s="346"/>
      <c r="H110" s="346">
        <f>+H111+H116</f>
        <v>6.0000000000000002E-5</v>
      </c>
      <c r="I110" s="346"/>
    </row>
    <row r="111" spans="1:9">
      <c r="A111" s="569">
        <v>50</v>
      </c>
      <c r="B111" s="346">
        <v>2.9E-4</v>
      </c>
      <c r="C111" s="346">
        <v>2.3000000000000001E-4</v>
      </c>
      <c r="D111" s="346">
        <v>1.7000000000000001E-4</v>
      </c>
      <c r="E111" s="346">
        <v>1.2E-4</v>
      </c>
      <c r="F111" s="346">
        <v>9.0000000000000006E-5</v>
      </c>
      <c r="G111" s="346">
        <v>6.0000000000000002E-5</v>
      </c>
      <c r="H111" s="346">
        <v>5.0000000000000002E-5</v>
      </c>
      <c r="I111" s="346">
        <v>3.0000000000000001E-5</v>
      </c>
    </row>
    <row r="112" spans="1:9">
      <c r="A112" s="569">
        <f>+A114+A116+A117+A118+A118+A118</f>
        <v>38</v>
      </c>
      <c r="B112" s="346"/>
      <c r="C112" s="346"/>
      <c r="D112" s="346"/>
      <c r="E112" s="346"/>
      <c r="F112" s="346"/>
      <c r="G112" s="346"/>
      <c r="H112" s="346">
        <f>+H114+H116+H117+H118+H118+H118</f>
        <v>3.7999999999999995E-5</v>
      </c>
      <c r="I112" s="346"/>
    </row>
    <row r="113" spans="1:9">
      <c r="A113" s="569">
        <f>+A114+A117</f>
        <v>25</v>
      </c>
      <c r="B113" s="346"/>
      <c r="C113" s="346"/>
      <c r="D113" s="346"/>
      <c r="E113" s="346"/>
      <c r="F113" s="346"/>
      <c r="G113" s="346"/>
      <c r="H113" s="346">
        <f>+H114+H117</f>
        <v>2.5000000000000001E-5</v>
      </c>
      <c r="I113" s="346"/>
    </row>
    <row r="114" spans="1:9">
      <c r="A114" s="569">
        <v>20</v>
      </c>
      <c r="B114" s="346">
        <v>1.3999999999999999E-4</v>
      </c>
      <c r="C114" s="346">
        <v>1.1E-4</v>
      </c>
      <c r="D114" s="346">
        <v>8.0000000000000007E-5</v>
      </c>
      <c r="E114" s="346">
        <v>6.0000000000000002E-5</v>
      </c>
      <c r="F114" s="346">
        <v>5.0000000000000002E-5</v>
      </c>
      <c r="G114" s="346">
        <v>3.0000000000000001E-5</v>
      </c>
      <c r="H114" s="346">
        <v>2.0000000000000002E-5</v>
      </c>
      <c r="I114" s="346">
        <v>1.0000000000000001E-5</v>
      </c>
    </row>
    <row r="115" spans="1:9">
      <c r="A115" s="569">
        <f>+A116+A118+A118+A118</f>
        <v>13</v>
      </c>
      <c r="B115" s="346"/>
      <c r="C115" s="346"/>
      <c r="D115" s="346"/>
      <c r="E115" s="346"/>
      <c r="F115" s="346"/>
      <c r="G115" s="346"/>
      <c r="H115" s="346">
        <f>+H116+H118+H118+H118</f>
        <v>1.3000000000000003E-5</v>
      </c>
      <c r="I115" s="346"/>
    </row>
    <row r="116" spans="1:9">
      <c r="A116" s="569">
        <v>10</v>
      </c>
      <c r="B116" s="346">
        <v>8.0000000000000007E-5</v>
      </c>
      <c r="C116" s="346">
        <v>6.0000000000000002E-5</v>
      </c>
      <c r="D116" s="346">
        <v>5.0000000000000002E-5</v>
      </c>
      <c r="E116" s="346">
        <v>3.0000000000000001E-5</v>
      </c>
      <c r="F116" s="346">
        <v>3.0000000000000001E-5</v>
      </c>
      <c r="G116" s="346">
        <v>2.0000000000000002E-5</v>
      </c>
      <c r="H116" s="346">
        <v>1.0000000000000001E-5</v>
      </c>
      <c r="I116" s="346">
        <v>1.0000000000000001E-5</v>
      </c>
    </row>
    <row r="117" spans="1:9">
      <c r="A117" s="569">
        <f>+A116/2</f>
        <v>5</v>
      </c>
      <c r="B117" s="346"/>
      <c r="C117" s="346"/>
      <c r="D117" s="346"/>
      <c r="E117" s="346"/>
      <c r="F117" s="346"/>
      <c r="G117" s="346"/>
      <c r="H117" s="346">
        <f>+H116/2</f>
        <v>5.0000000000000004E-6</v>
      </c>
      <c r="I117" s="346"/>
    </row>
    <row r="118" spans="1:9">
      <c r="A118" s="569">
        <f>+A117/5</f>
        <v>1</v>
      </c>
      <c r="B118" s="346"/>
      <c r="C118" s="346"/>
      <c r="D118" s="346"/>
      <c r="E118" s="346"/>
      <c r="F118" s="346"/>
      <c r="G118" s="346"/>
      <c r="H118" s="346">
        <f>+H117/5</f>
        <v>1.0000000000000002E-6</v>
      </c>
      <c r="I118" s="346"/>
    </row>
    <row r="119" spans="1:9">
      <c r="A119" s="275" t="s">
        <v>31</v>
      </c>
      <c r="B119" s="1"/>
      <c r="C119" s="1"/>
      <c r="D119" s="1"/>
      <c r="E119" s="1"/>
      <c r="F119" s="1"/>
      <c r="I119" s="272"/>
    </row>
    <row r="120" spans="1:9">
      <c r="A120" s="729" t="s">
        <v>153</v>
      </c>
      <c r="B120" s="730"/>
      <c r="C120" s="730"/>
      <c r="D120" s="730"/>
      <c r="E120" s="730"/>
      <c r="F120" s="730"/>
      <c r="G120" s="730"/>
      <c r="H120" s="730"/>
      <c r="I120" s="731"/>
    </row>
    <row r="121" spans="1:9">
      <c r="A121" s="718" t="s">
        <v>161</v>
      </c>
      <c r="B121" s="719"/>
      <c r="C121" s="719"/>
      <c r="D121" s="719"/>
      <c r="E121" s="719"/>
      <c r="F121" s="719"/>
      <c r="G121" s="719"/>
      <c r="H121" s="719"/>
      <c r="I121" s="720"/>
    </row>
    <row r="122" spans="1:9">
      <c r="A122" s="718" t="s">
        <v>159</v>
      </c>
      <c r="B122" s="719"/>
      <c r="C122" s="719"/>
      <c r="D122" s="719"/>
      <c r="E122" s="719"/>
      <c r="F122" s="719"/>
      <c r="G122" s="719"/>
      <c r="H122" s="719"/>
      <c r="I122" s="720"/>
    </row>
    <row r="123" spans="1:9">
      <c r="A123" s="721"/>
      <c r="B123" s="722"/>
      <c r="C123" s="722"/>
      <c r="D123" s="722"/>
      <c r="E123" s="722"/>
      <c r="F123" s="722"/>
      <c r="G123" s="722"/>
      <c r="H123" s="722"/>
      <c r="I123" s="723"/>
    </row>
    <row r="124" spans="1:9" ht="13.5" thickBot="1">
      <c r="A124" s="724"/>
      <c r="B124" s="725"/>
      <c r="C124" s="725"/>
      <c r="D124" s="725"/>
      <c r="E124" s="725"/>
      <c r="F124" s="725"/>
      <c r="G124" s="725"/>
      <c r="H124" s="725"/>
      <c r="I124" s="726"/>
    </row>
  </sheetData>
  <sheetProtection algorithmName="SHA-512" hashValue="/tCWAg1IJeOJLEDtkrNH2So6oqdP1as09pRf60s2DLJRWfOtLeWGAQrxMw7HEpeh3TtjPWs+C1+y9VSQNlGelQ==" saltValue="SXbF2mfWKDVoR8e1Cs/wdA==" spinCount="100000" sheet="1" objects="1" scenarios="1"/>
  <mergeCells count="82">
    <mergeCell ref="K38:N38"/>
    <mergeCell ref="A18:A19"/>
    <mergeCell ref="B18:B19"/>
    <mergeCell ref="C18:C19"/>
    <mergeCell ref="A38:I38"/>
    <mergeCell ref="A29:A30"/>
    <mergeCell ref="B31:B32"/>
    <mergeCell ref="B29:B30"/>
    <mergeCell ref="C31:C32"/>
    <mergeCell ref="A31:A32"/>
    <mergeCell ref="F30:H30"/>
    <mergeCell ref="C29:C30"/>
    <mergeCell ref="J14:K14"/>
    <mergeCell ref="A28:C28"/>
    <mergeCell ref="D23:I25"/>
    <mergeCell ref="E8:I8"/>
    <mergeCell ref="E14:F14"/>
    <mergeCell ref="J9:K10"/>
    <mergeCell ref="G10:I10"/>
    <mergeCell ref="G11:I11"/>
    <mergeCell ref="A16:C17"/>
    <mergeCell ref="J11:K11"/>
    <mergeCell ref="G28:I28"/>
    <mergeCell ref="G14:I14"/>
    <mergeCell ref="J12:K12"/>
    <mergeCell ref="G13:I13"/>
    <mergeCell ref="J13:K13"/>
    <mergeCell ref="D53:E53"/>
    <mergeCell ref="D47:E47"/>
    <mergeCell ref="H43:I43"/>
    <mergeCell ref="A1:I2"/>
    <mergeCell ref="F12:F13"/>
    <mergeCell ref="G12:I12"/>
    <mergeCell ref="H3:I3"/>
    <mergeCell ref="D5:E5"/>
    <mergeCell ref="H4:I4"/>
    <mergeCell ref="H5:I5"/>
    <mergeCell ref="H44:I44"/>
    <mergeCell ref="H45:I45"/>
    <mergeCell ref="H46:I46"/>
    <mergeCell ref="D41:E41"/>
    <mergeCell ref="D52:E52"/>
    <mergeCell ref="H48:I48"/>
    <mergeCell ref="D51:E51"/>
    <mergeCell ref="D44:E44"/>
    <mergeCell ref="D45:E45"/>
    <mergeCell ref="D43:E43"/>
    <mergeCell ref="D49:E49"/>
    <mergeCell ref="D50:E50"/>
    <mergeCell ref="D46:E46"/>
    <mergeCell ref="D48:E48"/>
    <mergeCell ref="B4:D4"/>
    <mergeCell ref="C8:C10"/>
    <mergeCell ref="E3:F3"/>
    <mergeCell ref="H41:I41"/>
    <mergeCell ref="H42:I42"/>
    <mergeCell ref="A40:C40"/>
    <mergeCell ref="F40:I40"/>
    <mergeCell ref="D40:E40"/>
    <mergeCell ref="D42:E42"/>
    <mergeCell ref="D6:E6"/>
    <mergeCell ref="A8:A10"/>
    <mergeCell ref="B8:B10"/>
    <mergeCell ref="G9:I9"/>
    <mergeCell ref="D8:D10"/>
    <mergeCell ref="H6:I6"/>
    <mergeCell ref="N45:O45"/>
    <mergeCell ref="A121:I121"/>
    <mergeCell ref="A122:I122"/>
    <mergeCell ref="A123:I123"/>
    <mergeCell ref="A124:I124"/>
    <mergeCell ref="H49:I49"/>
    <mergeCell ref="H50:I50"/>
    <mergeCell ref="H51:I51"/>
    <mergeCell ref="H52:I52"/>
    <mergeCell ref="A120:I120"/>
    <mergeCell ref="A56:A57"/>
    <mergeCell ref="A54:I54"/>
    <mergeCell ref="H47:I47"/>
    <mergeCell ref="B56:I56"/>
    <mergeCell ref="A55:I55"/>
    <mergeCell ref="H53:I53"/>
  </mergeCells>
  <pageMargins left="0.7" right="0.7" top="0.75" bottom="0.75" header="0.3" footer="0.3"/>
  <pageSetup scale="60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CC200"/>
  <sheetViews>
    <sheetView view="pageBreakPreview" topLeftCell="D4" zoomScale="80" zoomScaleNormal="90" zoomScaleSheetLayoutView="80" workbookViewId="0">
      <selection activeCell="M22" sqref="M22"/>
    </sheetView>
  </sheetViews>
  <sheetFormatPr baseColWidth="10" defaultColWidth="3" defaultRowHeight="12.75"/>
  <cols>
    <col min="1" max="1" width="12.85546875" style="1" customWidth="1"/>
    <col min="2" max="2" width="11.85546875" style="1" customWidth="1"/>
    <col min="3" max="3" width="14" style="1" customWidth="1"/>
    <col min="4" max="4" width="12.42578125" style="1" customWidth="1"/>
    <col min="5" max="5" width="9.28515625" style="1" customWidth="1"/>
    <col min="6" max="6" width="18" style="1" customWidth="1"/>
    <col min="7" max="7" width="13.5703125" style="1" customWidth="1"/>
    <col min="8" max="8" width="13" style="1" customWidth="1"/>
    <col min="9" max="9" width="2.42578125" style="1" customWidth="1"/>
    <col min="10" max="11" width="1.85546875" style="1" customWidth="1"/>
    <col min="12" max="12" width="11.5703125" style="1" customWidth="1"/>
    <col min="13" max="13" width="16.85546875" style="1" customWidth="1"/>
    <col min="14" max="14" width="1.85546875" style="1" customWidth="1"/>
    <col min="15" max="15" width="17.85546875" style="1" customWidth="1"/>
    <col min="16" max="16" width="14.7109375" style="1" customWidth="1"/>
    <col min="17" max="18" width="13.5703125" style="1" customWidth="1"/>
    <col min="19" max="19" width="15.5703125" style="1" customWidth="1"/>
    <col min="20" max="20" width="12.7109375" style="1" customWidth="1"/>
    <col min="21" max="21" width="15.85546875" style="1" customWidth="1"/>
    <col min="22" max="22" width="13.140625" style="1" customWidth="1"/>
    <col min="23" max="23" width="14.140625" style="1" customWidth="1"/>
    <col min="24" max="24" width="12.42578125" style="1" customWidth="1"/>
    <col min="25" max="27" width="3.5703125" style="1" customWidth="1"/>
    <col min="28" max="28" width="5" style="1" customWidth="1"/>
    <col min="29" max="29" width="3.5703125" style="1" customWidth="1"/>
    <col min="30" max="31" width="14" style="1" customWidth="1"/>
    <col min="32" max="32" width="14.140625" style="1" customWidth="1"/>
    <col min="33" max="33" width="14.42578125" style="1" customWidth="1"/>
    <col min="34" max="34" width="14.140625" style="1" customWidth="1"/>
    <col min="35" max="35" width="14.42578125" style="1" customWidth="1"/>
    <col min="36" max="36" width="14.5703125" style="1" customWidth="1"/>
    <col min="37" max="37" width="14.42578125" style="1" customWidth="1"/>
    <col min="38" max="39" width="14.140625" style="1" customWidth="1"/>
    <col min="40" max="40" width="14.28515625" style="1" customWidth="1"/>
    <col min="41" max="41" width="15.140625" style="1" customWidth="1"/>
    <col min="42" max="44" width="9.5703125" style="23" customWidth="1"/>
    <col min="45" max="45" width="3.5703125" style="1" customWidth="1"/>
    <col min="46" max="46" width="12.42578125" style="1" customWidth="1"/>
    <col min="47" max="47" width="14.140625" style="1" customWidth="1"/>
    <col min="48" max="50" width="14.28515625" style="1" customWidth="1"/>
    <col min="51" max="51" width="4" style="1" customWidth="1"/>
    <col min="52" max="54" width="10.5703125" style="1" customWidth="1"/>
    <col min="55" max="55" width="3.5703125" style="1" customWidth="1"/>
    <col min="56" max="56" width="14.7109375" style="1" customWidth="1"/>
    <col min="57" max="58" width="14.28515625" style="1" customWidth="1"/>
    <col min="59" max="59" width="11.42578125" style="1" customWidth="1"/>
    <col min="60" max="60" width="14.5703125" style="1" customWidth="1"/>
    <col min="61" max="61" width="19.7109375" style="1" customWidth="1"/>
    <col min="62" max="62" width="15.5703125" style="1" customWidth="1"/>
    <col min="63" max="63" width="4.7109375" style="1" customWidth="1"/>
    <col min="64" max="64" width="14.140625" style="1" customWidth="1"/>
    <col min="65" max="65" width="3.7109375" style="1" customWidth="1"/>
    <col min="66" max="66" width="15.5703125" style="1" customWidth="1"/>
    <col min="67" max="67" width="12.5703125" style="1" customWidth="1"/>
    <col min="68" max="68" width="3" style="8" customWidth="1"/>
    <col min="69" max="69" width="5.140625" style="1" customWidth="1"/>
    <col min="70" max="70" width="9.28515625" style="1" customWidth="1"/>
    <col min="71" max="71" width="8.42578125" style="1" customWidth="1"/>
    <col min="72" max="72" width="9.7109375" style="1" customWidth="1"/>
    <col min="73" max="73" width="4.85546875" style="1" customWidth="1"/>
    <col min="74" max="74" width="10.28515625" style="1" customWidth="1"/>
    <col min="75" max="75" width="7" style="1" customWidth="1"/>
    <col min="76" max="76" width="6.28515625" style="1" customWidth="1"/>
    <col min="77" max="77" width="8.42578125" style="1" customWidth="1"/>
    <col min="78" max="79" width="6.5703125" style="1" customWidth="1"/>
    <col min="80" max="80" width="19.140625" style="1" customWidth="1"/>
    <col min="81" max="231" width="3.5703125" style="1" customWidth="1"/>
    <col min="232" max="16384" width="3" style="1"/>
  </cols>
  <sheetData>
    <row r="1" spans="1:81" ht="83.25" customHeight="1" thickBot="1">
      <c r="A1" s="395"/>
      <c r="B1" s="396"/>
      <c r="C1" s="1064" t="s">
        <v>165</v>
      </c>
      <c r="D1" s="1064"/>
      <c r="E1" s="1064"/>
      <c r="F1" s="1064"/>
      <c r="G1" s="1064"/>
      <c r="H1" s="1064"/>
      <c r="I1" s="489"/>
      <c r="J1" s="489"/>
      <c r="P1" s="128"/>
      <c r="Q1" s="128"/>
      <c r="R1" s="128"/>
      <c r="S1" s="128"/>
      <c r="T1" s="128"/>
      <c r="U1" s="128"/>
      <c r="V1" s="128"/>
      <c r="W1" s="129"/>
      <c r="X1" s="129"/>
      <c r="Y1" s="128"/>
      <c r="Z1" s="128"/>
      <c r="AA1" s="128"/>
      <c r="BO1" s="2"/>
      <c r="BP1" s="1"/>
      <c r="BQ1" s="2"/>
    </row>
    <row r="2" spans="1:81" ht="13.5" thickBot="1">
      <c r="A2" s="201"/>
      <c r="B2" s="74"/>
      <c r="C2" s="74"/>
      <c r="D2" s="74"/>
      <c r="E2" s="74"/>
      <c r="F2" s="74"/>
      <c r="G2" s="397"/>
      <c r="H2" s="398"/>
      <c r="I2" s="204"/>
      <c r="L2" s="39"/>
      <c r="M2" s="39"/>
      <c r="P2" s="1069" t="s">
        <v>102</v>
      </c>
      <c r="Q2" s="1070"/>
      <c r="R2" s="1070"/>
      <c r="S2" s="1070"/>
      <c r="T2" s="1070"/>
      <c r="U2" s="1070"/>
      <c r="V2" s="1070"/>
      <c r="W2" s="1070"/>
      <c r="X2" s="1070"/>
      <c r="Y2" s="1070"/>
      <c r="Z2" s="1070"/>
      <c r="AA2" s="1070"/>
      <c r="AB2" s="1071"/>
      <c r="AD2" s="1040" t="s">
        <v>34</v>
      </c>
      <c r="AE2" s="1041"/>
      <c r="AF2" s="1041"/>
      <c r="AG2" s="1041"/>
      <c r="AH2" s="1041"/>
      <c r="AI2" s="1042"/>
      <c r="AL2" s="1046"/>
      <c r="AM2" s="1046"/>
      <c r="AN2" s="1046"/>
      <c r="AO2" s="320"/>
      <c r="BN2" s="3"/>
      <c r="BO2" s="4"/>
      <c r="BP2" s="3"/>
      <c r="BQ2" s="4"/>
      <c r="BR2" s="3"/>
      <c r="BS2" s="5"/>
      <c r="BT2" s="3"/>
      <c r="BU2" s="3"/>
      <c r="BV2" s="5"/>
    </row>
    <row r="3" spans="1:81" ht="13.5" customHeight="1" thickBot="1">
      <c r="A3" s="898"/>
      <c r="B3" s="899"/>
      <c r="C3" s="899"/>
      <c r="D3" s="899"/>
      <c r="E3" s="899"/>
      <c r="F3" s="899"/>
      <c r="G3" s="899"/>
      <c r="H3" s="286"/>
      <c r="I3" s="199"/>
      <c r="L3" s="39"/>
      <c r="M3" s="39"/>
      <c r="P3" s="979" t="s">
        <v>7</v>
      </c>
      <c r="Q3" s="980"/>
      <c r="R3" s="953">
        <f>DATOS!C16</f>
        <v>0</v>
      </c>
      <c r="S3" s="953"/>
      <c r="T3" s="953"/>
      <c r="U3" s="336" t="s">
        <v>74</v>
      </c>
      <c r="V3" s="337">
        <f>DATOS!C18</f>
        <v>0</v>
      </c>
      <c r="W3" s="959" t="s">
        <v>84</v>
      </c>
      <c r="X3" s="959"/>
      <c r="Y3" s="1072">
        <f>DATOS!C35</f>
        <v>0</v>
      </c>
      <c r="Z3" s="1072"/>
      <c r="AA3" s="1072"/>
      <c r="AB3" s="1073"/>
      <c r="AD3" s="1043"/>
      <c r="AE3" s="1044"/>
      <c r="AF3" s="1044"/>
      <c r="AG3" s="1044"/>
      <c r="AH3" s="1044"/>
      <c r="AI3" s="1045"/>
      <c r="AK3" s="355"/>
      <c r="AL3" s="26"/>
      <c r="AN3" s="320"/>
      <c r="AO3" s="320"/>
      <c r="BM3" s="82"/>
      <c r="BN3" s="986"/>
      <c r="BO3" s="986"/>
      <c r="BP3" s="257"/>
      <c r="BQ3" s="986"/>
      <c r="BR3" s="986"/>
      <c r="BS3" s="82"/>
      <c r="BT3" s="260"/>
      <c r="BU3" s="260"/>
      <c r="BV3" s="986"/>
      <c r="BW3" s="986"/>
      <c r="BX3" s="82"/>
      <c r="BY3" s="986"/>
      <c r="BZ3" s="986"/>
      <c r="CA3" s="260"/>
      <c r="CB3" s="175"/>
    </row>
    <row r="4" spans="1:81" ht="16.5" customHeight="1">
      <c r="A4" s="898"/>
      <c r="B4" s="899"/>
      <c r="C4" s="899"/>
      <c r="D4" s="899"/>
      <c r="E4" s="899"/>
      <c r="F4" s="899"/>
      <c r="G4" s="899"/>
      <c r="H4" s="200"/>
      <c r="I4" s="199"/>
      <c r="L4" s="43"/>
      <c r="M4" s="39"/>
      <c r="P4" s="924" t="s">
        <v>50</v>
      </c>
      <c r="Q4" s="925"/>
      <c r="R4" s="328">
        <f>+DATOS!C20</f>
        <v>0</v>
      </c>
      <c r="S4" s="327" t="str">
        <f>DATOS!G20</f>
        <v>g</v>
      </c>
      <c r="T4" s="876" t="s">
        <v>78</v>
      </c>
      <c r="U4" s="876"/>
      <c r="V4" s="327">
        <f>'HOJA DE CALCULO'!F5</f>
        <v>0</v>
      </c>
      <c r="W4" s="1082" t="s">
        <v>82</v>
      </c>
      <c r="X4" s="1082"/>
      <c r="Y4" s="972">
        <f>DATOS!C34</f>
        <v>0</v>
      </c>
      <c r="Z4" s="972"/>
      <c r="AA4" s="972"/>
      <c r="AB4" s="973"/>
      <c r="AD4" s="1021" t="s">
        <v>30</v>
      </c>
      <c r="AE4" s="1021" t="s">
        <v>59</v>
      </c>
      <c r="AF4" s="1021" t="s">
        <v>71</v>
      </c>
      <c r="AG4" s="1021" t="s">
        <v>35</v>
      </c>
      <c r="AH4" s="1065"/>
      <c r="AI4" s="1065"/>
      <c r="AK4" s="356"/>
      <c r="AL4" s="356"/>
      <c r="AM4" s="356"/>
      <c r="AN4" s="356"/>
      <c r="AO4" s="357"/>
      <c r="AP4" s="174"/>
      <c r="AQ4" s="174"/>
      <c r="AR4" s="174"/>
      <c r="AS4" s="176"/>
      <c r="AT4" s="176"/>
      <c r="AU4" s="540"/>
      <c r="AV4" s="540"/>
      <c r="AW4" s="540"/>
      <c r="AX4" s="540"/>
      <c r="AY4" s="176"/>
      <c r="AZ4" s="176"/>
      <c r="BA4" s="176"/>
      <c r="BM4" s="82"/>
      <c r="BN4" s="986"/>
      <c r="BO4" s="986"/>
      <c r="BP4" s="257"/>
      <c r="BQ4" s="986"/>
      <c r="BR4" s="986"/>
      <c r="BS4" s="82"/>
      <c r="BT4" s="260"/>
      <c r="BU4" s="260"/>
      <c r="BV4" s="986"/>
      <c r="BW4" s="986"/>
      <c r="BX4" s="82"/>
      <c r="BY4" s="986"/>
      <c r="BZ4" s="986"/>
      <c r="CA4" s="260"/>
      <c r="CB4" s="175"/>
    </row>
    <row r="5" spans="1:81" ht="16.5" thickBot="1">
      <c r="A5" s="201"/>
      <c r="B5" s="202"/>
      <c r="C5" s="202"/>
      <c r="D5" s="202"/>
      <c r="E5" s="202"/>
      <c r="F5" s="202"/>
      <c r="G5" s="202"/>
      <c r="H5" s="202"/>
      <c r="I5" s="203"/>
      <c r="L5" s="42"/>
      <c r="M5" s="37"/>
      <c r="P5" s="924" t="s">
        <v>8</v>
      </c>
      <c r="Q5" s="925"/>
      <c r="R5" s="328">
        <f>DATOS!C21</f>
        <v>0</v>
      </c>
      <c r="S5" s="329" t="str">
        <f>DATOS!G21</f>
        <v>g</v>
      </c>
      <c r="T5" s="876" t="s">
        <v>75</v>
      </c>
      <c r="U5" s="876"/>
      <c r="V5" s="327">
        <f>DATOS!C19</f>
        <v>0</v>
      </c>
      <c r="W5" s="1082" t="s">
        <v>83</v>
      </c>
      <c r="X5" s="1082"/>
      <c r="Y5" s="972">
        <f>DATOS!C36</f>
        <v>0</v>
      </c>
      <c r="Z5" s="972"/>
      <c r="AA5" s="972"/>
      <c r="AB5" s="973"/>
      <c r="AD5" s="1067"/>
      <c r="AE5" s="1067"/>
      <c r="AF5" s="1067"/>
      <c r="AG5" s="1067"/>
      <c r="AH5" s="1066"/>
      <c r="AI5" s="1066"/>
      <c r="AK5" s="358"/>
      <c r="AL5" s="358"/>
      <c r="AM5" s="320"/>
      <c r="AN5" s="358"/>
      <c r="AO5" s="358"/>
      <c r="AP5" s="357"/>
      <c r="AQ5" s="174"/>
      <c r="AR5" s="174"/>
      <c r="AS5" s="174"/>
      <c r="AT5" s="176"/>
      <c r="AU5" s="1002"/>
      <c r="AV5" s="541"/>
      <c r="AW5" s="541"/>
      <c r="AX5" s="541"/>
      <c r="AY5" s="541"/>
      <c r="AZ5" s="176"/>
      <c r="BA5" s="176"/>
      <c r="BB5" s="176"/>
      <c r="BE5" s="1000"/>
      <c r="BF5" s="1000"/>
      <c r="BG5" s="1000"/>
      <c r="BH5" s="1000"/>
      <c r="BI5" s="1000"/>
      <c r="BJ5" s="1000"/>
      <c r="BK5" s="1000"/>
      <c r="BN5" s="82"/>
      <c r="BO5" s="82"/>
      <c r="BP5" s="82"/>
      <c r="BQ5" s="257"/>
      <c r="BR5" s="1003"/>
      <c r="BS5" s="1003"/>
      <c r="BT5" s="82"/>
      <c r="BU5" s="82"/>
      <c r="BV5" s="82"/>
      <c r="BW5" s="82"/>
      <c r="BX5" s="82"/>
      <c r="BY5" s="82"/>
      <c r="BZ5" s="82"/>
      <c r="CA5" s="82"/>
      <c r="CB5" s="82"/>
      <c r="CC5" s="82"/>
    </row>
    <row r="6" spans="1:81" ht="15" customHeight="1" thickBot="1">
      <c r="A6" s="201"/>
      <c r="B6" s="74"/>
      <c r="C6" s="74"/>
      <c r="D6" s="74"/>
      <c r="E6" s="74"/>
      <c r="F6" s="974" t="s">
        <v>3</v>
      </c>
      <c r="G6" s="975"/>
      <c r="H6" s="976"/>
      <c r="I6" s="204"/>
      <c r="L6" s="42"/>
      <c r="M6" s="44"/>
      <c r="P6" s="924" t="s">
        <v>56</v>
      </c>
      <c r="Q6" s="925"/>
      <c r="R6" s="330">
        <f>AVERAGE(P17:Q17)</f>
        <v>0</v>
      </c>
      <c r="S6" s="329" t="s">
        <v>58</v>
      </c>
      <c r="T6" s="941" t="s">
        <v>57</v>
      </c>
      <c r="U6" s="941"/>
      <c r="V6" s="639">
        <f>(P18+Q18)/2</f>
        <v>0</v>
      </c>
      <c r="W6" s="1083" t="s">
        <v>85</v>
      </c>
      <c r="X6" s="1083"/>
      <c r="Y6" s="972">
        <f>DATOS!C37</f>
        <v>0</v>
      </c>
      <c r="Z6" s="972"/>
      <c r="AA6" s="972"/>
      <c r="AB6" s="973"/>
      <c r="AD6" s="1068"/>
      <c r="AE6" s="1068"/>
      <c r="AF6" s="1068"/>
      <c r="AG6" s="1068"/>
      <c r="AH6" s="80" t="s">
        <v>60</v>
      </c>
      <c r="AI6" s="68" t="s">
        <v>61</v>
      </c>
      <c r="AK6" s="357"/>
      <c r="AL6" s="357"/>
      <c r="AM6" s="320"/>
      <c r="AN6" s="357"/>
      <c r="AO6" s="357"/>
      <c r="AP6" s="357"/>
      <c r="AQ6" s="174"/>
      <c r="AR6" s="174"/>
      <c r="AS6" s="174"/>
      <c r="AT6" s="176"/>
      <c r="AU6" s="1002"/>
      <c r="AV6" s="177"/>
      <c r="AW6" s="178"/>
      <c r="AX6" s="178"/>
      <c r="AY6" s="178"/>
      <c r="AZ6" s="176"/>
      <c r="BA6" s="176"/>
      <c r="BB6" s="176"/>
      <c r="BE6" s="1000"/>
      <c r="BF6" s="1000"/>
      <c r="BG6" s="1000"/>
      <c r="BH6" s="1000"/>
      <c r="BI6" s="1000"/>
      <c r="BJ6" s="1000"/>
      <c r="BK6" s="1000"/>
      <c r="BN6" s="297"/>
      <c r="BO6" s="982"/>
      <c r="BP6" s="1004"/>
      <c r="BQ6" s="92"/>
      <c r="BR6" s="1005"/>
      <c r="BS6" s="1005"/>
      <c r="BT6" s="92"/>
      <c r="BU6" s="92"/>
      <c r="BV6" s="92"/>
      <c r="BW6" s="995"/>
      <c r="BX6" s="995"/>
      <c r="BZ6" s="992"/>
      <c r="CA6" s="992"/>
      <c r="CB6" s="123"/>
      <c r="CC6" s="261"/>
    </row>
    <row r="7" spans="1:81" ht="13.5" thickBot="1">
      <c r="A7" s="881" t="s">
        <v>116</v>
      </c>
      <c r="B7" s="882"/>
      <c r="C7" s="882"/>
      <c r="D7" s="79"/>
      <c r="E7" s="74"/>
      <c r="F7" s="206" t="s">
        <v>49</v>
      </c>
      <c r="G7" s="970" t="s">
        <v>91</v>
      </c>
      <c r="H7" s="971"/>
      <c r="I7" s="204"/>
      <c r="L7" s="42"/>
      <c r="M7" s="38"/>
      <c r="N7" s="27"/>
      <c r="P7" s="924" t="s">
        <v>9</v>
      </c>
      <c r="Q7" s="925"/>
      <c r="R7" s="328">
        <f>DATOS!I40</f>
        <v>0</v>
      </c>
      <c r="S7" s="329" t="s">
        <v>58</v>
      </c>
      <c r="T7" s="1078"/>
      <c r="U7" s="1078"/>
      <c r="V7" s="1078"/>
      <c r="W7" s="1078"/>
      <c r="X7" s="1078"/>
      <c r="Y7" s="1078"/>
      <c r="Z7" s="1078"/>
      <c r="AA7" s="1078"/>
      <c r="AB7" s="1079"/>
      <c r="AD7" s="63" t="s">
        <v>73</v>
      </c>
      <c r="AE7" s="63" t="s">
        <v>73</v>
      </c>
      <c r="AF7" s="63" t="s">
        <v>73</v>
      </c>
      <c r="AG7" s="63" t="s">
        <v>73</v>
      </c>
      <c r="AH7" s="81" t="s">
        <v>73</v>
      </c>
      <c r="AI7" s="63" t="s">
        <v>73</v>
      </c>
      <c r="AK7" s="357"/>
      <c r="AL7" s="357"/>
      <c r="AM7" s="320"/>
      <c r="AN7" s="357"/>
      <c r="AO7" s="357"/>
      <c r="AP7" s="174"/>
      <c r="AQ7" s="174"/>
      <c r="AR7" s="174"/>
      <c r="AS7" s="176"/>
      <c r="AT7" s="183"/>
      <c r="AU7" s="177"/>
      <c r="AV7" s="177"/>
      <c r="AW7" s="177"/>
      <c r="AX7" s="177"/>
      <c r="AY7" s="176"/>
      <c r="AZ7" s="176"/>
      <c r="BA7" s="176"/>
      <c r="BD7" s="999"/>
      <c r="BE7" s="999"/>
      <c r="BF7" s="52"/>
      <c r="BG7" s="8"/>
      <c r="BH7" s="52"/>
      <c r="BI7" s="51"/>
      <c r="BJ7" s="51"/>
      <c r="BM7" s="93"/>
      <c r="BN7" s="93"/>
      <c r="BO7" s="93"/>
      <c r="BP7" s="93"/>
      <c r="BQ7" s="93"/>
      <c r="BR7" s="93"/>
      <c r="BS7" s="93"/>
      <c r="BT7" s="94"/>
      <c r="BU7" s="94"/>
      <c r="BV7" s="93"/>
      <c r="BW7" s="95"/>
      <c r="BX7" s="292"/>
      <c r="BY7" s="96"/>
      <c r="BZ7" s="97"/>
      <c r="CA7" s="97"/>
      <c r="CB7" s="94"/>
    </row>
    <row r="8" spans="1:81" ht="12.75" customHeight="1" thickBot="1">
      <c r="A8" s="201"/>
      <c r="B8" s="74"/>
      <c r="C8" s="74"/>
      <c r="D8" s="313"/>
      <c r="E8" s="206" t="s">
        <v>33</v>
      </c>
      <c r="F8" s="316" t="str">
        <f>S4</f>
        <v>g</v>
      </c>
      <c r="G8" s="888" t="str">
        <f>S4</f>
        <v>g</v>
      </c>
      <c r="H8" s="889"/>
      <c r="I8" s="207"/>
      <c r="L8" s="42"/>
      <c r="M8" s="38"/>
      <c r="N8" s="27"/>
      <c r="P8" s="924" t="s">
        <v>81</v>
      </c>
      <c r="Q8" s="925"/>
      <c r="R8" s="328">
        <f>AVERAGE(P19:Q19)</f>
        <v>0</v>
      </c>
      <c r="S8" s="331" t="s">
        <v>23</v>
      </c>
      <c r="T8" s="1078"/>
      <c r="U8" s="1078"/>
      <c r="V8" s="1078"/>
      <c r="W8" s="1078"/>
      <c r="X8" s="1078"/>
      <c r="Y8" s="1078"/>
      <c r="Z8" s="1078"/>
      <c r="AA8" s="1078"/>
      <c r="AB8" s="1079"/>
      <c r="AD8" s="361" t="e">
        <f t="shared" ref="AD8:AD18" si="0">O37</f>
        <v>#N/A</v>
      </c>
      <c r="AE8" s="362" t="e">
        <f>'HOJA DE CALCULO'!F43</f>
        <v>#N/A</v>
      </c>
      <c r="AF8" s="362" t="e">
        <f>('HOJA DE CALCULO'!G43)/2</f>
        <v>#N/A</v>
      </c>
      <c r="AG8" s="363" t="e">
        <f>'HOJA DE CALCULO'!H43</f>
        <v>#N/A</v>
      </c>
      <c r="AH8" s="364" t="e">
        <f>AG8/(4*SQRT(3))</f>
        <v>#N/A</v>
      </c>
      <c r="AI8" s="365" t="e">
        <f>AG8/(3*SQRT(3))</f>
        <v>#N/A</v>
      </c>
      <c r="AK8" s="355"/>
      <c r="AL8" s="1047"/>
      <c r="AM8" s="1047"/>
      <c r="AN8" s="320"/>
      <c r="AO8" s="320"/>
      <c r="AP8" s="174"/>
      <c r="AQ8" s="174"/>
      <c r="AR8" s="174"/>
      <c r="AS8" s="176"/>
      <c r="AT8" s="235"/>
      <c r="AU8" s="235"/>
      <c r="AV8" s="235"/>
      <c r="AW8" s="179"/>
      <c r="AX8" s="181"/>
      <c r="AY8" s="176"/>
      <c r="AZ8" s="176"/>
      <c r="BA8" s="176"/>
      <c r="BD8" s="999"/>
      <c r="BE8" s="999"/>
      <c r="BF8" s="52"/>
      <c r="BG8" s="8"/>
      <c r="BH8" s="52"/>
      <c r="BI8" s="51"/>
      <c r="BJ8" s="51"/>
      <c r="BM8" s="297"/>
      <c r="BN8" s="982"/>
      <c r="BO8" s="982"/>
      <c r="BP8" s="98"/>
      <c r="BQ8" s="996"/>
      <c r="BR8" s="996"/>
      <c r="BS8" s="98"/>
      <c r="BT8" s="126"/>
      <c r="BU8" s="126"/>
      <c r="BV8" s="997"/>
      <c r="BW8" s="997"/>
      <c r="BY8" s="993"/>
      <c r="BZ8" s="993"/>
      <c r="CA8" s="125"/>
      <c r="CB8" s="124"/>
    </row>
    <row r="9" spans="1:81" ht="14.25" thickBot="1">
      <c r="A9" s="201"/>
      <c r="B9" s="79"/>
      <c r="C9" s="79"/>
      <c r="D9" s="208"/>
      <c r="E9" s="232">
        <v>1</v>
      </c>
      <c r="F9" s="937">
        <f>Q22</f>
        <v>0</v>
      </c>
      <c r="G9" s="952">
        <f>P26</f>
        <v>0</v>
      </c>
      <c r="H9" s="952"/>
      <c r="I9" s="207"/>
      <c r="L9" s="42"/>
      <c r="M9" s="38"/>
      <c r="N9" s="27"/>
      <c r="P9" s="924" t="s">
        <v>10</v>
      </c>
      <c r="Q9" s="925"/>
      <c r="R9" s="328">
        <v>7950</v>
      </c>
      <c r="S9" s="332" t="s">
        <v>62</v>
      </c>
      <c r="T9" s="1078"/>
      <c r="U9" s="1078"/>
      <c r="V9" s="1078"/>
      <c r="W9" s="1078"/>
      <c r="X9" s="1078"/>
      <c r="Y9" s="1080"/>
      <c r="Z9" s="1080"/>
      <c r="AA9" s="1080"/>
      <c r="AB9" s="1081"/>
      <c r="AD9" s="361" t="e">
        <f t="shared" si="0"/>
        <v>#N/A</v>
      </c>
      <c r="AE9" s="362" t="e">
        <f>'HOJA DE CALCULO'!F44</f>
        <v>#N/A</v>
      </c>
      <c r="AF9" s="362" t="e">
        <f>('HOJA DE CALCULO'!G44)/2</f>
        <v>#N/A</v>
      </c>
      <c r="AG9" s="363" t="e">
        <f>'HOJA DE CALCULO'!H44</f>
        <v>#N/A</v>
      </c>
      <c r="AH9" s="364" t="e">
        <f>AG9/(4*SQRT(3))</f>
        <v>#N/A</v>
      </c>
      <c r="AI9" s="365" t="e">
        <f>AG9/(3*SQRT(3))</f>
        <v>#N/A</v>
      </c>
      <c r="AK9" s="357"/>
      <c r="AL9" s="359"/>
      <c r="AM9" s="320"/>
      <c r="AN9" s="359"/>
      <c r="AO9" s="360"/>
      <c r="AP9" s="174"/>
      <c r="AQ9" s="174"/>
      <c r="AR9" s="174"/>
      <c r="AS9" s="176"/>
      <c r="AT9" s="235"/>
      <c r="AU9" s="235"/>
      <c r="AV9" s="235"/>
      <c r="AW9" s="179"/>
      <c r="AX9" s="181"/>
      <c r="AY9" s="176"/>
      <c r="AZ9" s="176"/>
      <c r="BA9" s="176"/>
      <c r="BD9" s="999"/>
      <c r="BE9" s="999"/>
      <c r="BF9" s="52"/>
      <c r="BG9" s="8"/>
      <c r="BH9" s="52"/>
      <c r="BI9" s="51"/>
      <c r="BJ9" s="51"/>
      <c r="BM9" s="93"/>
      <c r="BN9" s="99"/>
      <c r="BO9" s="99"/>
      <c r="BP9" s="93"/>
      <c r="BQ9" s="99"/>
      <c r="BR9" s="99"/>
      <c r="BS9" s="93"/>
      <c r="BT9" s="99"/>
      <c r="BU9" s="99"/>
      <c r="BV9" s="99"/>
      <c r="BW9" s="99"/>
      <c r="BX9" s="292"/>
      <c r="BY9" s="100"/>
      <c r="BZ9" s="97"/>
      <c r="CA9" s="97"/>
      <c r="CB9" s="99"/>
    </row>
    <row r="10" spans="1:81" ht="13.5" customHeight="1" thickBot="1">
      <c r="A10" s="201"/>
      <c r="B10" s="209"/>
      <c r="C10" s="210"/>
      <c r="D10" s="208"/>
      <c r="E10" s="233">
        <v>2</v>
      </c>
      <c r="F10" s="938"/>
      <c r="G10" s="890">
        <f>P27</f>
        <v>0</v>
      </c>
      <c r="H10" s="890"/>
      <c r="I10" s="207"/>
      <c r="L10" s="42"/>
      <c r="M10" s="38"/>
      <c r="N10" s="27"/>
      <c r="P10" s="954" t="s">
        <v>11</v>
      </c>
      <c r="Q10" s="955"/>
      <c r="R10" s="940" t="s">
        <v>97</v>
      </c>
      <c r="S10" s="940"/>
      <c r="T10" s="940"/>
      <c r="U10" s="940"/>
      <c r="V10" s="940"/>
      <c r="W10" s="940"/>
      <c r="X10" s="333">
        <f>W15</f>
        <v>0</v>
      </c>
      <c r="Y10" s="334" t="str">
        <f>W14</f>
        <v>g</v>
      </c>
      <c r="Z10" s="902"/>
      <c r="AA10" s="902"/>
      <c r="AB10" s="903"/>
      <c r="AD10" s="361" t="e">
        <f t="shared" si="0"/>
        <v>#N/A</v>
      </c>
      <c r="AE10" s="197" t="e">
        <f>'HOJA DE CALCULO'!F45</f>
        <v>#N/A</v>
      </c>
      <c r="AF10" s="197" t="e">
        <f>('HOJA DE CALCULO'!G45)/2</f>
        <v>#N/A</v>
      </c>
      <c r="AG10" s="243" t="e">
        <f>'HOJA DE CALCULO'!H45</f>
        <v>#N/A</v>
      </c>
      <c r="AH10" s="154" t="e">
        <f t="shared" ref="AH10:AH18" si="1">AG10/(4*SQRT(3))</f>
        <v>#N/A</v>
      </c>
      <c r="AI10" s="155" t="e">
        <f t="shared" ref="AI10:AI18" si="2">AG10/(3*SQRT(3))</f>
        <v>#N/A</v>
      </c>
      <c r="AK10" s="26"/>
      <c r="AL10" s="237"/>
      <c r="AM10" s="237"/>
      <c r="AN10" s="238"/>
      <c r="AO10" s="239"/>
      <c r="AP10" s="1001"/>
      <c r="AQ10" s="1001"/>
      <c r="AR10" s="1001"/>
      <c r="AS10" s="176"/>
      <c r="AT10" s="235"/>
      <c r="AU10" s="235"/>
      <c r="AV10" s="235"/>
      <c r="AW10" s="179"/>
      <c r="AX10" s="181"/>
      <c r="AY10" s="176"/>
      <c r="AZ10" s="176"/>
      <c r="BA10" s="176"/>
      <c r="BD10" s="999"/>
      <c r="BE10" s="999"/>
      <c r="BF10" s="52"/>
      <c r="BG10" s="8"/>
      <c r="BH10" s="52"/>
      <c r="BI10" s="51"/>
      <c r="BJ10" s="51"/>
      <c r="BM10" s="101"/>
      <c r="BN10" s="982"/>
      <c r="BO10" s="982"/>
      <c r="BP10" s="101"/>
      <c r="BQ10" s="984"/>
      <c r="BR10" s="984"/>
      <c r="BS10" s="101"/>
      <c r="BT10" s="124"/>
      <c r="BU10" s="124"/>
      <c r="BV10" s="984"/>
      <c r="BW10" s="984"/>
      <c r="BY10" s="998"/>
      <c r="BZ10" s="998"/>
      <c r="CA10" s="122"/>
      <c r="CB10" s="124"/>
    </row>
    <row r="11" spans="1:81" ht="12.75" customHeight="1" thickBot="1">
      <c r="A11" s="205"/>
      <c r="B11" s="79"/>
      <c r="C11" s="79"/>
      <c r="D11" s="208"/>
      <c r="E11" s="233">
        <v>3</v>
      </c>
      <c r="F11" s="938"/>
      <c r="G11" s="890">
        <f>P28</f>
        <v>0</v>
      </c>
      <c r="H11" s="890"/>
      <c r="I11" s="207"/>
      <c r="L11" s="42"/>
      <c r="M11" s="38"/>
      <c r="N11" s="27"/>
      <c r="P11" s="956"/>
      <c r="Q11" s="957"/>
      <c r="R11" s="958" t="s">
        <v>96</v>
      </c>
      <c r="S11" s="958"/>
      <c r="T11" s="958"/>
      <c r="U11" s="958"/>
      <c r="V11" s="958"/>
      <c r="W11" s="958"/>
      <c r="X11" s="958"/>
      <c r="Y11" s="904">
        <f>X18</f>
        <v>4</v>
      </c>
      <c r="Z11" s="904"/>
      <c r="AA11" s="904"/>
      <c r="AB11" s="335" t="str">
        <f>X14</f>
        <v>s</v>
      </c>
      <c r="AD11" s="361" t="e">
        <f t="shared" si="0"/>
        <v>#N/A</v>
      </c>
      <c r="AE11" s="197" t="e">
        <f>'HOJA DE CALCULO'!F46</f>
        <v>#N/A</v>
      </c>
      <c r="AF11" s="197" t="e">
        <f>('HOJA DE CALCULO'!G46)/2</f>
        <v>#N/A</v>
      </c>
      <c r="AG11" s="243" t="e">
        <f>'HOJA DE CALCULO'!H46</f>
        <v>#N/A</v>
      </c>
      <c r="AH11" s="154" t="e">
        <f>AG11/(4*SQRT(3))</f>
        <v>#N/A</v>
      </c>
      <c r="AI11" s="155" t="e">
        <f>AG11/(3*SQRT(3))</f>
        <v>#N/A</v>
      </c>
      <c r="AK11" s="26"/>
      <c r="AL11" s="237"/>
      <c r="AM11" s="237"/>
      <c r="AN11" s="238"/>
      <c r="AO11" s="239"/>
      <c r="AP11" s="1006"/>
      <c r="AQ11" s="1006"/>
      <c r="AR11" s="1006"/>
      <c r="AS11" s="176"/>
      <c r="AT11" s="235"/>
      <c r="AU11" s="235"/>
      <c r="AV11" s="235"/>
      <c r="AW11" s="179"/>
      <c r="AX11" s="181"/>
      <c r="AY11" s="176"/>
      <c r="AZ11" s="176"/>
      <c r="BA11" s="176"/>
      <c r="BD11" s="999"/>
      <c r="BE11" s="999"/>
      <c r="BF11" s="52"/>
      <c r="BG11" s="8"/>
      <c r="BH11" s="52"/>
      <c r="BI11" s="51"/>
      <c r="BJ11" s="51"/>
      <c r="BM11" s="102"/>
      <c r="BN11" s="102"/>
      <c r="BO11" s="102"/>
      <c r="BP11" s="102"/>
      <c r="BQ11" s="102"/>
      <c r="BR11" s="102"/>
      <c r="BS11" s="102"/>
      <c r="BT11" s="103"/>
      <c r="BU11" s="103"/>
      <c r="BV11" s="104"/>
      <c r="BW11" s="104"/>
      <c r="BX11" s="292"/>
      <c r="BY11" s="105"/>
      <c r="BZ11" s="105"/>
      <c r="CA11" s="105"/>
      <c r="CB11" s="99"/>
    </row>
    <row r="12" spans="1:81" ht="13.5" thickBot="1">
      <c r="A12" s="201"/>
      <c r="B12" s="79"/>
      <c r="C12" s="79"/>
      <c r="D12" s="208"/>
      <c r="E12" s="233">
        <v>4</v>
      </c>
      <c r="F12" s="938"/>
      <c r="G12" s="890">
        <f>P29</f>
        <v>0</v>
      </c>
      <c r="H12" s="890"/>
      <c r="I12" s="207"/>
      <c r="L12" s="42"/>
      <c r="M12" s="38"/>
      <c r="N12" s="27"/>
      <c r="O12" s="926" t="s">
        <v>12</v>
      </c>
      <c r="P12" s="886"/>
      <c r="Q12" s="886"/>
      <c r="R12" s="886"/>
      <c r="S12" s="886"/>
      <c r="T12" s="886"/>
      <c r="U12" s="887"/>
      <c r="V12" s="885" t="s">
        <v>92</v>
      </c>
      <c r="W12" s="886"/>
      <c r="X12" s="886"/>
      <c r="Y12" s="886"/>
      <c r="Z12" s="886"/>
      <c r="AA12" s="887"/>
      <c r="AD12" s="361" t="e">
        <f t="shared" si="0"/>
        <v>#N/A</v>
      </c>
      <c r="AE12" s="197" t="e">
        <f>'HOJA DE CALCULO'!F47</f>
        <v>#N/A</v>
      </c>
      <c r="AF12" s="197" t="e">
        <f>('HOJA DE CALCULO'!G47)/2</f>
        <v>#N/A</v>
      </c>
      <c r="AG12" s="243" t="e">
        <f>'HOJA DE CALCULO'!H47</f>
        <v>#N/A</v>
      </c>
      <c r="AH12" s="154" t="e">
        <f>AG12/(4*SQRT(3))</f>
        <v>#N/A</v>
      </c>
      <c r="AI12" s="155" t="e">
        <f>AG12/(3*SQRT(3))</f>
        <v>#N/A</v>
      </c>
      <c r="AK12" s="26"/>
      <c r="AL12" s="237"/>
      <c r="AM12" s="237"/>
      <c r="AN12" s="238"/>
      <c r="AO12" s="239"/>
      <c r="AP12" s="1006"/>
      <c r="AQ12" s="1006"/>
      <c r="AR12" s="1006"/>
      <c r="AS12" s="176"/>
      <c r="AT12" s="235"/>
      <c r="AU12" s="235"/>
      <c r="AV12" s="235"/>
      <c r="AW12" s="179"/>
      <c r="AX12" s="181"/>
      <c r="AY12" s="176"/>
      <c r="AZ12" s="176"/>
      <c r="BA12" s="176"/>
      <c r="BD12" s="999"/>
      <c r="BE12" s="999"/>
      <c r="BF12" s="52"/>
      <c r="BG12" s="8"/>
      <c r="BH12" s="52"/>
      <c r="BI12" s="51"/>
      <c r="BJ12" s="51"/>
      <c r="BM12" s="101"/>
      <c r="BN12" s="982"/>
      <c r="BO12" s="982"/>
      <c r="BP12" s="101"/>
      <c r="BQ12" s="984"/>
      <c r="BR12" s="984"/>
      <c r="BS12" s="101"/>
      <c r="BT12" s="124"/>
      <c r="BU12" s="124"/>
      <c r="BV12" s="984"/>
      <c r="BW12" s="984"/>
      <c r="BY12" s="998"/>
      <c r="BZ12" s="998"/>
      <c r="CA12" s="122"/>
      <c r="CB12" s="124"/>
    </row>
    <row r="13" spans="1:81" ht="13.5" customHeight="1" thickBot="1">
      <c r="A13" s="201"/>
      <c r="B13" s="211"/>
      <c r="C13" s="212"/>
      <c r="D13" s="208"/>
      <c r="E13" s="233">
        <v>5</v>
      </c>
      <c r="F13" s="939"/>
      <c r="G13" s="919">
        <f>P30</f>
        <v>0</v>
      </c>
      <c r="H13" s="919"/>
      <c r="I13" s="204"/>
      <c r="L13" s="39"/>
      <c r="M13" s="40"/>
      <c r="N13" s="27"/>
      <c r="O13" s="927"/>
      <c r="P13" s="928"/>
      <c r="Q13" s="928"/>
      <c r="R13" s="928"/>
      <c r="S13" s="928"/>
      <c r="T13" s="928"/>
      <c r="U13" s="929"/>
      <c r="V13" s="170"/>
      <c r="W13" s="249" t="s">
        <v>30</v>
      </c>
      <c r="X13" s="977" t="s">
        <v>93</v>
      </c>
      <c r="Y13" s="978"/>
      <c r="Z13" s="905" t="s">
        <v>98</v>
      </c>
      <c r="AA13" s="906"/>
      <c r="AD13" s="361">
        <f t="shared" si="0"/>
        <v>0</v>
      </c>
      <c r="AE13" s="197" t="e">
        <f>'HOJA DE CALCULO'!F48</f>
        <v>#N/A</v>
      </c>
      <c r="AF13" s="197" t="e">
        <f>('HOJA DE CALCULO'!G48)/2</f>
        <v>#N/A</v>
      </c>
      <c r="AG13" s="243" t="e">
        <f>'HOJA DE CALCULO'!H48</f>
        <v>#N/A</v>
      </c>
      <c r="AH13" s="154" t="e">
        <f t="shared" si="1"/>
        <v>#N/A</v>
      </c>
      <c r="AI13" s="155" t="e">
        <f t="shared" si="2"/>
        <v>#N/A</v>
      </c>
      <c r="AK13" s="26"/>
      <c r="AL13" s="237"/>
      <c r="AM13" s="237"/>
      <c r="AN13" s="238"/>
      <c r="AO13" s="239"/>
      <c r="AP13" s="1006"/>
      <c r="AQ13" s="1006"/>
      <c r="AR13" s="1006"/>
      <c r="AS13" s="176"/>
      <c r="AT13" s="235"/>
      <c r="AU13" s="235"/>
      <c r="AV13" s="235"/>
      <c r="AW13" s="179"/>
      <c r="AX13" s="181"/>
      <c r="AY13" s="176"/>
      <c r="AZ13" s="176"/>
      <c r="BA13" s="176"/>
      <c r="BD13" s="999"/>
      <c r="BE13" s="999"/>
      <c r="BF13" s="52"/>
      <c r="BG13" s="8"/>
      <c r="BH13" s="52"/>
      <c r="BI13" s="51"/>
      <c r="BJ13" s="51"/>
      <c r="BM13" s="93"/>
      <c r="BN13" s="106"/>
      <c r="BO13" s="93"/>
      <c r="BP13" s="93"/>
      <c r="BQ13" s="93"/>
      <c r="BR13" s="93"/>
      <c r="BS13" s="93"/>
      <c r="BT13" s="94"/>
      <c r="BU13" s="94"/>
      <c r="BV13" s="93"/>
      <c r="BW13" s="95"/>
      <c r="BX13" s="292"/>
      <c r="BY13" s="96"/>
      <c r="BZ13" s="96"/>
      <c r="CA13" s="96"/>
      <c r="CB13" s="93"/>
    </row>
    <row r="14" spans="1:81" ht="13.5" thickBot="1">
      <c r="A14" s="201"/>
      <c r="B14" s="211"/>
      <c r="C14" s="212"/>
      <c r="D14" s="208"/>
      <c r="E14" s="213"/>
      <c r="F14" s="933" t="s">
        <v>89</v>
      </c>
      <c r="G14" s="934"/>
      <c r="H14" s="410">
        <f>Q31</f>
        <v>0</v>
      </c>
      <c r="I14" s="207" t="str">
        <f>S4</f>
        <v>g</v>
      </c>
      <c r="L14" s="39"/>
      <c r="M14" s="40"/>
      <c r="N14" s="27"/>
      <c r="O14" s="747" t="s">
        <v>13</v>
      </c>
      <c r="P14" s="935" t="s">
        <v>14</v>
      </c>
      <c r="Q14" s="935" t="s">
        <v>15</v>
      </c>
      <c r="R14" s="747" t="s">
        <v>16</v>
      </c>
      <c r="S14" s="747" t="s">
        <v>17</v>
      </c>
      <c r="T14" s="747" t="s">
        <v>87</v>
      </c>
      <c r="U14" s="747" t="s">
        <v>18</v>
      </c>
      <c r="V14" s="152" t="s">
        <v>94</v>
      </c>
      <c r="W14" s="250" t="s">
        <v>73</v>
      </c>
      <c r="X14" s="968" t="s">
        <v>47</v>
      </c>
      <c r="Y14" s="969"/>
      <c r="Z14" s="907"/>
      <c r="AA14" s="908"/>
      <c r="AD14" s="361">
        <f t="shared" si="0"/>
        <v>0</v>
      </c>
      <c r="AE14" s="197" t="e">
        <f>'HOJA DE CALCULO'!F49</f>
        <v>#N/A</v>
      </c>
      <c r="AF14" s="197" t="e">
        <f>('HOJA DE CALCULO'!G49)/2</f>
        <v>#N/A</v>
      </c>
      <c r="AG14" s="243" t="e">
        <f>'HOJA DE CALCULO'!H49</f>
        <v>#N/A</v>
      </c>
      <c r="AH14" s="154" t="e">
        <f t="shared" si="1"/>
        <v>#N/A</v>
      </c>
      <c r="AI14" s="155" t="e">
        <f t="shared" si="2"/>
        <v>#N/A</v>
      </c>
      <c r="AK14" s="26"/>
      <c r="AL14" s="237"/>
      <c r="AM14" s="237"/>
      <c r="AN14" s="238"/>
      <c r="AO14" s="239"/>
      <c r="AP14" s="174"/>
      <c r="AQ14" s="174"/>
      <c r="AR14" s="174"/>
      <c r="AS14" s="176"/>
      <c r="AT14" s="235"/>
      <c r="AU14" s="235"/>
      <c r="AV14" s="235"/>
      <c r="AW14" s="179"/>
      <c r="AX14" s="181"/>
      <c r="AY14" s="176"/>
      <c r="AZ14" s="176"/>
      <c r="BA14" s="176"/>
      <c r="BD14" s="999"/>
      <c r="BE14" s="999"/>
      <c r="BF14" s="52"/>
      <c r="BG14" s="8"/>
      <c r="BH14" s="52"/>
      <c r="BI14" s="51"/>
      <c r="BJ14" s="51"/>
      <c r="BM14" s="101"/>
      <c r="BN14" s="982"/>
      <c r="BO14" s="982"/>
      <c r="BP14" s="101"/>
      <c r="BQ14" s="984"/>
      <c r="BR14" s="984"/>
      <c r="BS14" s="101"/>
      <c r="BT14" s="124"/>
      <c r="BU14" s="124"/>
      <c r="BV14" s="984"/>
      <c r="BW14" s="984"/>
      <c r="BY14" s="998"/>
      <c r="BZ14" s="998"/>
      <c r="CA14" s="122"/>
      <c r="CB14" s="124"/>
    </row>
    <row r="15" spans="1:81" ht="13.5" thickBot="1">
      <c r="A15" s="214" t="s">
        <v>2</v>
      </c>
      <c r="B15" s="74"/>
      <c r="C15" s="74"/>
      <c r="D15" s="79"/>
      <c r="E15" s="79"/>
      <c r="F15" s="74"/>
      <c r="G15" s="74"/>
      <c r="H15" s="74"/>
      <c r="I15" s="204"/>
      <c r="L15" s="39"/>
      <c r="M15" s="40"/>
      <c r="N15" s="27"/>
      <c r="O15" s="748"/>
      <c r="P15" s="936"/>
      <c r="Q15" s="936"/>
      <c r="R15" s="748"/>
      <c r="S15" s="748"/>
      <c r="T15" s="967"/>
      <c r="U15" s="748"/>
      <c r="V15" s="153">
        <v>1</v>
      </c>
      <c r="W15" s="338">
        <f>R4/2</f>
        <v>0</v>
      </c>
      <c r="X15" s="915">
        <f>'HOJA DE CALCULO'!G11</f>
        <v>2</v>
      </c>
      <c r="Y15" s="916"/>
      <c r="Z15" s="909" t="s">
        <v>47</v>
      </c>
      <c r="AA15" s="910"/>
      <c r="AD15" s="361">
        <f t="shared" si="0"/>
        <v>0</v>
      </c>
      <c r="AE15" s="197" t="e">
        <f>'HOJA DE CALCULO'!F50</f>
        <v>#N/A</v>
      </c>
      <c r="AF15" s="197" t="e">
        <f>('HOJA DE CALCULO'!G50)/2</f>
        <v>#N/A</v>
      </c>
      <c r="AG15" s="243" t="e">
        <f>'HOJA DE CALCULO'!H50</f>
        <v>#N/A</v>
      </c>
      <c r="AH15" s="154" t="e">
        <f t="shared" si="1"/>
        <v>#N/A</v>
      </c>
      <c r="AI15" s="155" t="e">
        <f t="shared" si="2"/>
        <v>#N/A</v>
      </c>
      <c r="AK15" s="26"/>
      <c r="AL15" s="237"/>
      <c r="AM15" s="237"/>
      <c r="AN15" s="238"/>
      <c r="AO15" s="239"/>
      <c r="AP15" s="174"/>
      <c r="AQ15" s="174"/>
      <c r="AR15" s="174"/>
      <c r="AS15" s="176"/>
      <c r="AT15" s="235"/>
      <c r="AU15" s="235"/>
      <c r="AV15" s="235"/>
      <c r="AW15" s="179"/>
      <c r="AX15" s="181"/>
      <c r="AY15" s="176"/>
      <c r="AZ15" s="176"/>
      <c r="BA15" s="176"/>
      <c r="BM15" s="93"/>
      <c r="BN15" s="93"/>
      <c r="BO15" s="93"/>
      <c r="BP15" s="93"/>
      <c r="BQ15" s="93"/>
      <c r="BR15" s="93"/>
      <c r="BS15" s="93"/>
      <c r="BT15" s="94"/>
      <c r="BU15" s="94"/>
      <c r="BV15" s="93"/>
      <c r="BW15" s="95"/>
      <c r="BX15" s="292"/>
      <c r="BY15" s="96"/>
      <c r="BZ15" s="96"/>
      <c r="CA15" s="96"/>
      <c r="CB15" s="93"/>
    </row>
    <row r="16" spans="1:81" ht="13.5" thickBot="1">
      <c r="A16" s="201"/>
      <c r="B16" s="79"/>
      <c r="C16" s="313"/>
      <c r="D16" s="74"/>
      <c r="E16" s="74"/>
      <c r="F16" s="74"/>
      <c r="G16" s="74"/>
      <c r="H16" s="74"/>
      <c r="I16" s="204"/>
      <c r="L16" s="39"/>
      <c r="M16" s="37"/>
      <c r="N16" s="27"/>
      <c r="O16" s="748"/>
      <c r="P16" s="936"/>
      <c r="Q16" s="936"/>
      <c r="R16" s="748"/>
      <c r="S16" s="748"/>
      <c r="T16" s="967"/>
      <c r="U16" s="748"/>
      <c r="V16" s="153">
        <v>2</v>
      </c>
      <c r="W16" s="930"/>
      <c r="X16" s="891">
        <f>'HOJA DE CALCULO'!G12</f>
        <v>2</v>
      </c>
      <c r="Y16" s="892"/>
      <c r="Z16" s="1076" t="s">
        <v>47</v>
      </c>
      <c r="AA16" s="1077"/>
      <c r="AD16" s="361">
        <f t="shared" si="0"/>
        <v>0</v>
      </c>
      <c r="AE16" s="197" t="e">
        <f>'HOJA DE CALCULO'!F51</f>
        <v>#N/A</v>
      </c>
      <c r="AF16" s="197" t="e">
        <f>('HOJA DE CALCULO'!G51)/2</f>
        <v>#N/A</v>
      </c>
      <c r="AG16" s="243" t="e">
        <f>'HOJA DE CALCULO'!H51</f>
        <v>#N/A</v>
      </c>
      <c r="AH16" s="154" t="e">
        <f t="shared" si="1"/>
        <v>#N/A</v>
      </c>
      <c r="AI16" s="155" t="e">
        <f t="shared" si="2"/>
        <v>#N/A</v>
      </c>
      <c r="AK16" s="26"/>
      <c r="AL16" s="237"/>
      <c r="AM16" s="237"/>
      <c r="AN16" s="238"/>
      <c r="AO16" s="239"/>
      <c r="AP16" s="174"/>
      <c r="AQ16" s="174"/>
      <c r="AR16" s="174"/>
      <c r="AS16" s="176"/>
      <c r="AT16" s="235"/>
      <c r="AU16" s="235"/>
      <c r="AV16" s="235"/>
      <c r="AW16" s="179"/>
      <c r="AX16" s="181"/>
      <c r="AY16" s="1001"/>
      <c r="AZ16" s="1001"/>
      <c r="BA16" s="1001"/>
      <c r="BM16" s="101"/>
      <c r="BN16" s="982"/>
      <c r="BO16" s="982"/>
      <c r="BP16" s="101"/>
      <c r="BQ16" s="984"/>
      <c r="BR16" s="984"/>
      <c r="BS16" s="101"/>
      <c r="BT16" s="124"/>
      <c r="BU16" s="124"/>
      <c r="BV16" s="984"/>
      <c r="BW16" s="984"/>
      <c r="BY16" s="998"/>
      <c r="BZ16" s="998"/>
      <c r="CA16" s="122"/>
      <c r="CB16" s="124"/>
    </row>
    <row r="17" spans="1:80" ht="13.5" thickBot="1">
      <c r="A17" s="922" t="s">
        <v>0</v>
      </c>
      <c r="B17" s="923"/>
      <c r="C17" s="923"/>
      <c r="D17" s="74"/>
      <c r="E17" s="74"/>
      <c r="F17" s="932" t="s">
        <v>4</v>
      </c>
      <c r="G17" s="932"/>
      <c r="H17" s="932"/>
      <c r="I17" s="204"/>
      <c r="L17" s="39"/>
      <c r="M17" s="37"/>
      <c r="N17" s="27"/>
      <c r="O17" s="299" t="s">
        <v>19</v>
      </c>
      <c r="P17" s="300">
        <f>DATOS!C40</f>
        <v>0</v>
      </c>
      <c r="Q17" s="301">
        <f>DATOS!C41</f>
        <v>0</v>
      </c>
      <c r="R17" s="302">
        <v>0.1</v>
      </c>
      <c r="S17" s="303">
        <v>0.13</v>
      </c>
      <c r="T17" s="304">
        <v>0.05</v>
      </c>
      <c r="U17" s="305" t="s">
        <v>20</v>
      </c>
      <c r="V17" s="193">
        <v>3</v>
      </c>
      <c r="W17" s="931"/>
      <c r="X17" s="911">
        <f>'HOJA DE CALCULO'!G13</f>
        <v>2</v>
      </c>
      <c r="Y17" s="912"/>
      <c r="Z17" s="913" t="s">
        <v>47</v>
      </c>
      <c r="AA17" s="914"/>
      <c r="AD17" s="361">
        <f t="shared" si="0"/>
        <v>0</v>
      </c>
      <c r="AE17" s="197" t="e">
        <f>'HOJA DE CALCULO'!F52</f>
        <v>#N/A</v>
      </c>
      <c r="AF17" s="197" t="e">
        <f>('HOJA DE CALCULO'!G52)/2</f>
        <v>#N/A</v>
      </c>
      <c r="AG17" s="243" t="e">
        <f>'HOJA DE CALCULO'!H52</f>
        <v>#N/A</v>
      </c>
      <c r="AH17" s="154" t="e">
        <f t="shared" si="1"/>
        <v>#N/A</v>
      </c>
      <c r="AI17" s="155" t="e">
        <f t="shared" si="2"/>
        <v>#N/A</v>
      </c>
      <c r="AK17" s="26"/>
      <c r="AL17" s="237"/>
      <c r="AM17" s="237"/>
      <c r="AN17" s="238"/>
      <c r="AO17" s="239"/>
      <c r="AP17" s="174"/>
      <c r="AQ17" s="174"/>
      <c r="AR17" s="174"/>
      <c r="AS17" s="176"/>
      <c r="AT17" s="235"/>
      <c r="AU17" s="235"/>
      <c r="AV17" s="235"/>
      <c r="AW17" s="179"/>
      <c r="AX17" s="181"/>
      <c r="AY17" s="1006"/>
      <c r="AZ17" s="1006"/>
      <c r="BA17" s="1006"/>
      <c r="BM17" s="82"/>
      <c r="BN17" s="83"/>
      <c r="BO17" s="85"/>
      <c r="BP17" s="86"/>
      <c r="BQ17" s="87"/>
      <c r="BR17" s="87"/>
      <c r="BS17" s="87"/>
      <c r="BT17" s="257"/>
      <c r="BU17" s="257"/>
      <c r="BV17" s="87"/>
      <c r="BW17" s="87"/>
      <c r="BX17" s="259"/>
      <c r="BY17" s="88"/>
      <c r="BZ17" s="89"/>
      <c r="CA17" s="89"/>
      <c r="CB17" s="257"/>
    </row>
    <row r="18" spans="1:80" ht="13.5" thickBot="1">
      <c r="A18" s="369">
        <v>0.5</v>
      </c>
      <c r="B18" s="411">
        <f>V22</f>
        <v>0</v>
      </c>
      <c r="C18" s="370" t="str">
        <f>I14</f>
        <v>g</v>
      </c>
      <c r="D18" s="74"/>
      <c r="E18" s="74"/>
      <c r="F18" s="371" t="s">
        <v>1</v>
      </c>
      <c r="G18" s="636">
        <f>W31</f>
        <v>0</v>
      </c>
      <c r="H18" s="372" t="str">
        <f>S4</f>
        <v>g</v>
      </c>
      <c r="I18" s="204"/>
      <c r="L18" s="39"/>
      <c r="M18" s="37"/>
      <c r="O18" s="273" t="s">
        <v>21</v>
      </c>
      <c r="P18" s="131">
        <f>DATOS!E40</f>
        <v>0</v>
      </c>
      <c r="Q18" s="252">
        <f>DATOS!E41</f>
        <v>0</v>
      </c>
      <c r="R18" s="130">
        <v>1</v>
      </c>
      <c r="S18" s="131">
        <v>1.45</v>
      </c>
      <c r="T18" s="132">
        <v>0.74</v>
      </c>
      <c r="U18" s="306" t="s">
        <v>6</v>
      </c>
      <c r="V18" s="194"/>
      <c r="W18" s="251" t="s">
        <v>95</v>
      </c>
      <c r="X18" s="827">
        <f>MAX(X15:Y17)*2</f>
        <v>4</v>
      </c>
      <c r="Y18" s="829"/>
      <c r="Z18" s="1074" t="s">
        <v>47</v>
      </c>
      <c r="AA18" s="1075"/>
      <c r="AD18" s="361">
        <f t="shared" si="0"/>
        <v>0</v>
      </c>
      <c r="AE18" s="366" t="e">
        <f>'HOJA DE CALCULO'!F53</f>
        <v>#N/A</v>
      </c>
      <c r="AF18" s="366" t="e">
        <f>('HOJA DE CALCULO'!G53)/2</f>
        <v>#N/A</v>
      </c>
      <c r="AG18" s="367" t="e">
        <f>'HOJA DE CALCULO'!H53</f>
        <v>#N/A</v>
      </c>
      <c r="AH18" s="156" t="e">
        <f t="shared" si="1"/>
        <v>#N/A</v>
      </c>
      <c r="AI18" s="157" t="e">
        <f t="shared" si="2"/>
        <v>#N/A</v>
      </c>
      <c r="AK18" s="26"/>
      <c r="AL18" s="237"/>
      <c r="AM18" s="237"/>
      <c r="AN18" s="238"/>
      <c r="AO18" s="239"/>
      <c r="AP18" s="1001"/>
      <c r="AQ18" s="1001"/>
      <c r="AR18" s="1001"/>
      <c r="AS18" s="176"/>
      <c r="AT18" s="184"/>
      <c r="AU18" s="179"/>
      <c r="AV18" s="181"/>
      <c r="AW18" s="179"/>
      <c r="AX18" s="181"/>
      <c r="AY18" s="1006"/>
      <c r="AZ18" s="1006"/>
      <c r="BA18" s="1006"/>
      <c r="BM18" s="82"/>
      <c r="BN18" s="983"/>
      <c r="BO18" s="983"/>
      <c r="BP18" s="90"/>
      <c r="BQ18" s="987"/>
      <c r="BR18" s="987"/>
      <c r="BS18" s="87"/>
      <c r="BT18" s="257"/>
      <c r="BU18" s="257"/>
      <c r="BV18" s="985"/>
      <c r="BW18" s="985"/>
      <c r="BX18" s="994"/>
      <c r="BY18" s="994"/>
      <c r="BZ18" s="994"/>
      <c r="CA18" s="259"/>
      <c r="CB18" s="256"/>
    </row>
    <row r="19" spans="1:80" ht="14.25" thickBot="1">
      <c r="A19" s="373">
        <v>1</v>
      </c>
      <c r="B19" s="374">
        <f>AF23</f>
        <v>0</v>
      </c>
      <c r="C19" s="375" t="str">
        <f>C18</f>
        <v>g</v>
      </c>
      <c r="D19" s="376"/>
      <c r="E19" s="376"/>
      <c r="F19" s="377" t="s">
        <v>1</v>
      </c>
      <c r="G19" s="378">
        <f>AG32</f>
        <v>0</v>
      </c>
      <c r="H19" s="379" t="str">
        <f>S5</f>
        <v>g</v>
      </c>
      <c r="I19" s="380"/>
      <c r="L19" s="43"/>
      <c r="M19" s="39"/>
      <c r="O19" s="307" t="s">
        <v>22</v>
      </c>
      <c r="P19" s="308">
        <f>DATOS!G40</f>
        <v>0</v>
      </c>
      <c r="Q19" s="309">
        <f>DATOS!G41</f>
        <v>0</v>
      </c>
      <c r="R19" s="151">
        <v>1</v>
      </c>
      <c r="S19" s="308">
        <v>0.7</v>
      </c>
      <c r="T19" s="310">
        <v>0.62</v>
      </c>
      <c r="U19" s="311" t="s">
        <v>23</v>
      </c>
      <c r="V19" s="128"/>
      <c r="W19" s="128"/>
      <c r="X19" s="128"/>
      <c r="Y19" s="128"/>
      <c r="Z19" s="128"/>
      <c r="AA19" s="128"/>
      <c r="AK19" s="26"/>
      <c r="AL19" s="237"/>
      <c r="AM19" s="237"/>
      <c r="AN19" s="238"/>
      <c r="AO19" s="239"/>
      <c r="AP19" s="1006"/>
      <c r="AQ19" s="1006"/>
      <c r="AR19" s="1006"/>
      <c r="AS19" s="176"/>
      <c r="AT19" s="184"/>
      <c r="AU19" s="179"/>
      <c r="AV19" s="181"/>
      <c r="AW19" s="179"/>
      <c r="AX19" s="181"/>
      <c r="AY19" s="1006"/>
      <c r="AZ19" s="1006"/>
      <c r="BA19" s="1006"/>
      <c r="BM19" s="82"/>
      <c r="BN19" s="83"/>
      <c r="BO19" s="85"/>
      <c r="BP19" s="86"/>
      <c r="BQ19" s="87"/>
      <c r="BR19" s="87"/>
      <c r="BS19" s="87"/>
      <c r="BT19" s="257"/>
      <c r="BU19" s="257"/>
      <c r="BV19" s="87"/>
      <c r="BW19" s="87"/>
      <c r="BX19" s="259"/>
      <c r="BY19" s="85"/>
      <c r="BZ19" s="84"/>
      <c r="CA19" s="84"/>
      <c r="CB19" s="87"/>
    </row>
    <row r="20" spans="1:80" ht="19.5" thickBot="1">
      <c r="A20" s="883" t="s">
        <v>32</v>
      </c>
      <c r="B20" s="884"/>
      <c r="C20" s="884"/>
      <c r="D20" s="74"/>
      <c r="E20" s="74"/>
      <c r="F20" s="74"/>
      <c r="G20" s="74"/>
      <c r="H20" s="215"/>
      <c r="I20" s="204"/>
      <c r="L20" s="45"/>
      <c r="M20" s="39"/>
      <c r="O20" s="538" t="s">
        <v>24</v>
      </c>
      <c r="P20" s="539"/>
      <c r="Q20" s="539"/>
      <c r="R20" s="539"/>
      <c r="S20" s="539"/>
      <c r="T20" s="539"/>
      <c r="U20" s="539"/>
      <c r="V20" s="539"/>
      <c r="W20" s="539"/>
      <c r="X20" s="539"/>
      <c r="Y20" s="539"/>
      <c r="Z20" s="539"/>
      <c r="AA20" s="539"/>
      <c r="AB20" s="539"/>
      <c r="AC20" s="539"/>
      <c r="AK20" s="26"/>
      <c r="AL20" s="237"/>
      <c r="AM20" s="237"/>
      <c r="AN20" s="238"/>
      <c r="AO20" s="239"/>
      <c r="AP20" s="1006"/>
      <c r="AQ20" s="1006"/>
      <c r="AR20" s="1006"/>
      <c r="AS20" s="176"/>
      <c r="AT20" s="184"/>
      <c r="AU20" s="179"/>
      <c r="AV20" s="181"/>
      <c r="AW20" s="185"/>
      <c r="AX20" s="181"/>
      <c r="AY20" s="176"/>
      <c r="AZ20" s="176"/>
      <c r="BA20" s="176"/>
      <c r="BM20" s="292"/>
      <c r="BN20" s="983"/>
      <c r="BO20" s="983"/>
      <c r="BP20" s="83"/>
      <c r="BQ20" s="987"/>
      <c r="BR20" s="987"/>
      <c r="BS20" s="83"/>
      <c r="BT20" s="258"/>
      <c r="BU20" s="258"/>
      <c r="BV20" s="987"/>
      <c r="BW20" s="987"/>
      <c r="BX20" s="991"/>
      <c r="BY20" s="991"/>
      <c r="BZ20" s="991"/>
      <c r="CA20" s="89"/>
      <c r="CB20" s="256"/>
    </row>
    <row r="21" spans="1:80" ht="16.5" customHeight="1" thickBot="1">
      <c r="A21" s="201"/>
      <c r="B21" s="917" t="s">
        <v>51</v>
      </c>
      <c r="C21" s="900" t="s">
        <v>76</v>
      </c>
      <c r="D21" s="920" t="s">
        <v>90</v>
      </c>
      <c r="E21" s="216"/>
      <c r="F21" s="216"/>
      <c r="G21" s="74"/>
      <c r="H21" s="74"/>
      <c r="I21" s="204"/>
      <c r="L21" s="42"/>
      <c r="M21" s="39"/>
      <c r="O21" s="895" t="s">
        <v>86</v>
      </c>
      <c r="P21" s="896"/>
      <c r="Q21" s="896"/>
      <c r="R21" s="896"/>
      <c r="S21" s="897"/>
      <c r="T21" s="1048" t="s">
        <v>104</v>
      </c>
      <c r="U21" s="1049"/>
      <c r="V21" s="1050"/>
      <c r="W21" s="1050"/>
      <c r="X21" s="1051"/>
      <c r="AD21" s="539"/>
      <c r="AE21" s="539"/>
      <c r="AF21" s="539"/>
      <c r="AG21" s="539"/>
      <c r="AH21" s="539"/>
      <c r="AK21" s="26"/>
      <c r="AL21" s="237"/>
      <c r="AM21" s="237"/>
      <c r="AN21" s="238"/>
      <c r="AO21" s="239"/>
      <c r="AP21" s="1006"/>
      <c r="AQ21" s="1006"/>
      <c r="AR21" s="1006"/>
      <c r="AS21" s="176"/>
      <c r="AT21" s="184"/>
      <c r="AU21" s="179"/>
      <c r="AV21" s="181"/>
      <c r="AW21" s="185"/>
      <c r="AX21" s="181"/>
      <c r="AY21" s="176"/>
      <c r="AZ21" s="176"/>
      <c r="BA21" s="176"/>
      <c r="BM21" s="292"/>
      <c r="BN21" s="83"/>
      <c r="BO21" s="88"/>
      <c r="BP21" s="293"/>
      <c r="BQ21" s="83"/>
      <c r="BR21" s="83"/>
      <c r="BS21" s="83"/>
      <c r="BT21" s="83"/>
      <c r="BU21" s="83"/>
      <c r="BV21" s="83"/>
      <c r="BW21" s="83"/>
      <c r="BX21" s="83"/>
      <c r="BY21" s="294"/>
      <c r="BZ21" s="295"/>
      <c r="CA21" s="295"/>
      <c r="CB21" s="296"/>
    </row>
    <row r="22" spans="1:80" ht="16.5" thickBot="1">
      <c r="A22" s="201"/>
      <c r="B22" s="918"/>
      <c r="C22" s="901"/>
      <c r="D22" s="921"/>
      <c r="E22" s="216"/>
      <c r="F22" s="216"/>
      <c r="G22" s="74"/>
      <c r="H22" s="74"/>
      <c r="I22" s="204"/>
      <c r="L22" s="42"/>
      <c r="M22" s="39"/>
      <c r="O22" s="893" t="s">
        <v>25</v>
      </c>
      <c r="P22" s="894"/>
      <c r="Q22" s="644">
        <f>'HOJA DE CALCULO'!A48</f>
        <v>0</v>
      </c>
      <c r="R22" s="143" t="str">
        <f>S4</f>
        <v>g</v>
      </c>
      <c r="S22" s="9"/>
      <c r="T22" s="946" t="s">
        <v>25</v>
      </c>
      <c r="U22" s="1007"/>
      <c r="V22" s="1028">
        <f>'HOJA DE CALCULO'!A48</f>
        <v>0</v>
      </c>
      <c r="W22" s="1029"/>
      <c r="X22" s="1033" t="str">
        <f>S4</f>
        <v>g</v>
      </c>
      <c r="AD22" s="1048" t="s">
        <v>105</v>
      </c>
      <c r="AE22" s="1049"/>
      <c r="AF22" s="1050"/>
      <c r="AG22" s="1050"/>
      <c r="AH22" s="1051"/>
      <c r="AK22" s="26"/>
      <c r="AL22" s="237"/>
      <c r="AM22" s="240"/>
      <c r="AN22" s="238"/>
      <c r="AO22" s="239"/>
      <c r="AP22" s="174"/>
      <c r="AQ22" s="174"/>
      <c r="AR22" s="174"/>
      <c r="AS22" s="176"/>
      <c r="AT22" s="184"/>
      <c r="AU22" s="179"/>
      <c r="AV22" s="181"/>
      <c r="AW22" s="185"/>
      <c r="AX22" s="181"/>
      <c r="AY22" s="176"/>
      <c r="AZ22" s="176"/>
      <c r="BA22" s="176"/>
      <c r="BN22" s="8"/>
      <c r="BO22" s="13"/>
      <c r="BP22" s="14"/>
      <c r="BQ22" s="30"/>
      <c r="BR22" s="30"/>
      <c r="BS22" s="30"/>
      <c r="BT22" s="30"/>
      <c r="BU22" s="30"/>
      <c r="BV22" s="30"/>
      <c r="BW22" s="8"/>
      <c r="BX22" s="8"/>
      <c r="BY22" s="12"/>
      <c r="BZ22" s="20"/>
      <c r="CA22" s="20"/>
      <c r="CB22" s="31"/>
    </row>
    <row r="23" spans="1:80" ht="13.5" thickBot="1">
      <c r="A23" s="201"/>
      <c r="B23" s="583" t="str">
        <f>S4</f>
        <v>g</v>
      </c>
      <c r="C23" s="584" t="s">
        <v>73</v>
      </c>
      <c r="D23" s="585" t="s">
        <v>73</v>
      </c>
      <c r="E23" s="217"/>
      <c r="F23" s="217"/>
      <c r="G23" s="74"/>
      <c r="H23" s="74"/>
      <c r="I23" s="204"/>
      <c r="L23" s="42"/>
      <c r="M23" s="39"/>
      <c r="O23" s="893"/>
      <c r="P23" s="1032"/>
      <c r="Q23" s="1032"/>
      <c r="R23" s="894"/>
      <c r="S23" s="9"/>
      <c r="T23" s="948"/>
      <c r="U23" s="1008"/>
      <c r="V23" s="1030"/>
      <c r="W23" s="1031"/>
      <c r="X23" s="1034"/>
      <c r="AD23" s="946" t="s">
        <v>25</v>
      </c>
      <c r="AE23" s="1007"/>
      <c r="AF23" s="1028">
        <f>R4</f>
        <v>0</v>
      </c>
      <c r="AG23" s="1029"/>
      <c r="AH23" s="1033" t="str">
        <f>S4</f>
        <v>g</v>
      </c>
      <c r="AK23" s="241"/>
      <c r="AL23" s="237"/>
      <c r="AM23" s="237"/>
      <c r="AN23" s="238"/>
      <c r="AO23" s="239"/>
      <c r="AP23" s="174"/>
      <c r="AQ23" s="174"/>
      <c r="AR23" s="174"/>
      <c r="AS23" s="176"/>
      <c r="AT23" s="184"/>
      <c r="AU23" s="179"/>
      <c r="AV23" s="181"/>
      <c r="AW23" s="185"/>
      <c r="AX23" s="181"/>
      <c r="AY23" s="176"/>
      <c r="AZ23" s="176"/>
      <c r="BA23" s="176"/>
      <c r="BN23" s="21"/>
      <c r="BO23" s="13"/>
      <c r="BP23" s="14"/>
      <c r="BQ23" s="30"/>
      <c r="BR23" s="30"/>
      <c r="BS23" s="30"/>
      <c r="BT23" s="30"/>
      <c r="BU23" s="30"/>
      <c r="BV23" s="8"/>
      <c r="BW23" s="8"/>
      <c r="BX23" s="21"/>
      <c r="BY23" s="13"/>
      <c r="BZ23" s="29"/>
      <c r="CA23" s="29"/>
      <c r="CB23" s="30"/>
    </row>
    <row r="24" spans="1:80" ht="15.75" customHeight="1" thickBot="1">
      <c r="A24" s="201"/>
      <c r="B24" s="589" t="e">
        <f>+O37</f>
        <v>#N/A</v>
      </c>
      <c r="C24" s="590" t="e">
        <f>AM79</f>
        <v>#N/A</v>
      </c>
      <c r="D24" s="591" t="e">
        <f>AO79</f>
        <v>#DIV/0!</v>
      </c>
      <c r="E24" s="218"/>
      <c r="F24" s="218"/>
      <c r="G24" s="74"/>
      <c r="H24" s="74"/>
      <c r="I24" s="204"/>
      <c r="L24" s="42"/>
      <c r="M24" s="39"/>
      <c r="O24" s="877" t="s">
        <v>26</v>
      </c>
      <c r="P24" s="117" t="s">
        <v>68</v>
      </c>
      <c r="Q24" s="117" t="s">
        <v>69</v>
      </c>
      <c r="R24" s="117" t="s">
        <v>70</v>
      </c>
      <c r="S24" s="139"/>
      <c r="T24" s="1020" t="s">
        <v>27</v>
      </c>
      <c r="U24" s="946" t="s">
        <v>67</v>
      </c>
      <c r="V24" s="947"/>
      <c r="W24" s="988" t="s">
        <v>68</v>
      </c>
      <c r="X24" s="1035"/>
      <c r="AD24" s="948"/>
      <c r="AE24" s="1008"/>
      <c r="AF24" s="1030"/>
      <c r="AG24" s="1031"/>
      <c r="AH24" s="1034"/>
      <c r="AK24" s="241"/>
      <c r="AL24" s="237"/>
      <c r="AM24" s="237"/>
      <c r="AN24" s="239"/>
      <c r="AO24" s="239"/>
      <c r="AP24" s="174"/>
      <c r="AQ24" s="174"/>
      <c r="AR24" s="174"/>
      <c r="AS24" s="176"/>
      <c r="AT24" s="184"/>
      <c r="AU24" s="179"/>
      <c r="AV24" s="181"/>
      <c r="AW24" s="185"/>
      <c r="AX24" s="181"/>
      <c r="AY24" s="176"/>
      <c r="AZ24" s="176"/>
      <c r="BA24" s="176"/>
      <c r="BN24" s="21"/>
      <c r="BO24" s="10"/>
      <c r="BP24" s="31"/>
      <c r="BQ24" s="50"/>
      <c r="BR24" s="50"/>
      <c r="BS24" s="50"/>
      <c r="BT24" s="50"/>
      <c r="BU24" s="50"/>
      <c r="BV24" s="8"/>
      <c r="BW24" s="8"/>
      <c r="BX24" s="21"/>
      <c r="BY24" s="13"/>
      <c r="BZ24" s="29"/>
      <c r="CA24" s="29"/>
      <c r="CB24" s="30"/>
    </row>
    <row r="25" spans="1:80" ht="15.75" thickBot="1">
      <c r="A25" s="201"/>
      <c r="B25" s="589" t="e">
        <f>+O38</f>
        <v>#N/A</v>
      </c>
      <c r="C25" s="590" t="e">
        <f>AM80</f>
        <v>#N/A</v>
      </c>
      <c r="D25" s="591" t="e">
        <f>AO80</f>
        <v>#DIV/0!</v>
      </c>
      <c r="E25" s="218"/>
      <c r="F25" s="218"/>
      <c r="G25" s="74"/>
      <c r="H25" s="74"/>
      <c r="I25" s="204"/>
      <c r="L25" s="42"/>
      <c r="M25" s="39"/>
      <c r="O25" s="878"/>
      <c r="P25" s="118" t="str">
        <f>S4</f>
        <v>g</v>
      </c>
      <c r="Q25" s="118" t="str">
        <f>P25</f>
        <v>g</v>
      </c>
      <c r="R25" s="118" t="str">
        <f>P25</f>
        <v>g</v>
      </c>
      <c r="S25" s="140"/>
      <c r="T25" s="1021"/>
      <c r="U25" s="948"/>
      <c r="V25" s="949"/>
      <c r="W25" s="1008"/>
      <c r="X25" s="949"/>
      <c r="AD25" s="1020" t="s">
        <v>27</v>
      </c>
      <c r="AE25" s="1016" t="s">
        <v>67</v>
      </c>
      <c r="AF25" s="1022"/>
      <c r="AG25" s="1016" t="s">
        <v>68</v>
      </c>
      <c r="AH25" s="1017"/>
      <c r="AK25" s="241"/>
      <c r="AL25" s="237"/>
      <c r="AM25" s="237"/>
      <c r="AN25" s="239"/>
      <c r="AO25" s="239"/>
      <c r="AP25" s="1001"/>
      <c r="AQ25" s="1001"/>
      <c r="AR25" s="1001"/>
      <c r="AS25" s="176"/>
      <c r="AT25" s="184"/>
      <c r="AU25" s="179"/>
      <c r="AV25" s="181"/>
      <c r="AW25" s="185"/>
      <c r="AX25" s="181"/>
      <c r="AY25" s="176"/>
      <c r="AZ25" s="176"/>
      <c r="BA25" s="176"/>
      <c r="BN25" s="21"/>
      <c r="BO25" s="21"/>
      <c r="BP25" s="21"/>
      <c r="BQ25" s="50"/>
      <c r="BR25" s="50"/>
      <c r="BS25" s="50"/>
      <c r="BT25" s="50"/>
      <c r="BU25" s="50"/>
      <c r="BV25" s="8"/>
      <c r="BW25" s="8"/>
      <c r="BX25" s="21"/>
      <c r="BY25" s="10"/>
      <c r="BZ25" s="29"/>
      <c r="CA25" s="29"/>
      <c r="CB25" s="30"/>
    </row>
    <row r="26" spans="1:80" ht="15.75" thickBot="1">
      <c r="A26" s="201"/>
      <c r="B26" s="589" t="e">
        <f>+O39</f>
        <v>#N/A</v>
      </c>
      <c r="C26" s="590" t="e">
        <f>AM81</f>
        <v>#N/A</v>
      </c>
      <c r="D26" s="591" t="e">
        <f>AO81</f>
        <v>#DIV/0!</v>
      </c>
      <c r="E26" s="218"/>
      <c r="F26" s="218"/>
      <c r="G26" s="74"/>
      <c r="H26" s="74"/>
      <c r="I26" s="204"/>
      <c r="L26" s="42"/>
      <c r="M26" s="39"/>
      <c r="O26" s="119">
        <v>1</v>
      </c>
      <c r="P26" s="253">
        <f>'HOJA DE CALCULO'!C21</f>
        <v>0</v>
      </c>
      <c r="Q26" s="879"/>
      <c r="R26" s="880"/>
      <c r="S26" s="139"/>
      <c r="T26" s="65">
        <v>1</v>
      </c>
      <c r="U26" s="950">
        <f>'HOJA DE CALCULO'!B33</f>
        <v>0</v>
      </c>
      <c r="V26" s="951"/>
      <c r="W26" s="1014">
        <f>'HOJA DE CALCULO'!C33</f>
        <v>0</v>
      </c>
      <c r="X26" s="951"/>
      <c r="AD26" s="1021"/>
      <c r="AE26" s="1018"/>
      <c r="AF26" s="1023"/>
      <c r="AG26" s="1018"/>
      <c r="AH26" s="1019"/>
      <c r="AK26" s="241"/>
      <c r="AL26" s="237"/>
      <c r="AM26" s="237"/>
      <c r="AN26" s="239"/>
      <c r="AO26" s="239"/>
      <c r="AP26" s="1006"/>
      <c r="AQ26" s="1006"/>
      <c r="AR26" s="1006"/>
      <c r="AS26" s="176"/>
      <c r="AT26" s="184"/>
      <c r="AU26" s="179"/>
      <c r="AV26" s="181"/>
      <c r="AW26" s="185"/>
      <c r="AX26" s="181"/>
      <c r="AY26" s="176"/>
      <c r="AZ26" s="176"/>
      <c r="BA26" s="176"/>
      <c r="BN26" s="8"/>
      <c r="BO26" s="10"/>
      <c r="BP26" s="14"/>
      <c r="BQ26" s="50"/>
      <c r="BR26" s="50"/>
      <c r="BS26" s="50"/>
      <c r="BT26" s="50"/>
      <c r="BU26" s="50"/>
      <c r="BV26" s="30"/>
      <c r="BW26" s="30"/>
      <c r="BX26" s="8"/>
      <c r="BY26" s="10"/>
      <c r="BZ26" s="29"/>
      <c r="CA26" s="29"/>
      <c r="CB26" s="30"/>
    </row>
    <row r="27" spans="1:80" ht="15">
      <c r="A27" s="201"/>
      <c r="B27" s="589" t="e">
        <f>+O40</f>
        <v>#N/A</v>
      </c>
      <c r="C27" s="590" t="e">
        <f>AM82</f>
        <v>#N/A</v>
      </c>
      <c r="D27" s="591" t="e">
        <f>AO82</f>
        <v>#DIV/0!</v>
      </c>
      <c r="E27" s="218"/>
      <c r="F27" s="218"/>
      <c r="G27" s="74"/>
      <c r="H27" s="74"/>
      <c r="I27" s="204"/>
      <c r="L27" s="42"/>
      <c r="M27" s="39"/>
      <c r="O27" s="120">
        <v>2</v>
      </c>
      <c r="P27" s="254">
        <f>'HOJA DE CALCULO'!C22</f>
        <v>0</v>
      </c>
      <c r="Q27" s="288">
        <f>P27-$P$26</f>
        <v>0</v>
      </c>
      <c r="R27" s="289">
        <f>ABS(Q27)</f>
        <v>0</v>
      </c>
      <c r="S27" s="139"/>
      <c r="T27" s="66">
        <v>2</v>
      </c>
      <c r="U27" s="965">
        <f>'HOJA DE CALCULO'!B34</f>
        <v>0</v>
      </c>
      <c r="V27" s="966"/>
      <c r="W27" s="1015">
        <f>'HOJA DE CALCULO'!C34</f>
        <v>0</v>
      </c>
      <c r="X27" s="966"/>
      <c r="AD27" s="65">
        <v>1</v>
      </c>
      <c r="AE27" s="950">
        <f>'HOJA DE CALCULO'!H33</f>
        <v>0</v>
      </c>
      <c r="AF27" s="951"/>
      <c r="AG27" s="1014">
        <f>'HOJA DE CALCULO'!I33</f>
        <v>0</v>
      </c>
      <c r="AH27" s="951"/>
      <c r="AK27" s="241"/>
      <c r="AL27" s="237"/>
      <c r="AM27" s="237"/>
      <c r="AN27" s="239"/>
      <c r="AO27" s="239"/>
      <c r="AP27" s="1006"/>
      <c r="AQ27" s="1006"/>
      <c r="AR27" s="1006"/>
      <c r="AS27" s="176"/>
      <c r="AT27" s="184"/>
      <c r="AU27" s="179"/>
      <c r="AV27" s="181"/>
      <c r="AW27" s="185"/>
      <c r="AX27" s="181"/>
      <c r="AY27" s="176"/>
      <c r="AZ27" s="176"/>
      <c r="BA27" s="176"/>
      <c r="BM27" s="23"/>
      <c r="BN27" s="15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</row>
    <row r="28" spans="1:80" ht="15">
      <c r="A28" s="201"/>
      <c r="B28" s="586" t="e">
        <f>+O41</f>
        <v>#N/A</v>
      </c>
      <c r="C28" s="587" t="e">
        <f>AM83</f>
        <v>#N/A</v>
      </c>
      <c r="D28" s="588" t="e">
        <f>AO83</f>
        <v>#DIV/0!</v>
      </c>
      <c r="E28" s="218"/>
      <c r="F28" s="218"/>
      <c r="G28" s="74"/>
      <c r="H28" s="74"/>
      <c r="I28" s="204"/>
      <c r="L28" s="42"/>
      <c r="M28" s="39"/>
      <c r="O28" s="120">
        <v>3</v>
      </c>
      <c r="P28" s="254">
        <f>'HOJA DE CALCULO'!C23</f>
        <v>0</v>
      </c>
      <c r="Q28" s="288">
        <f>P28-$P$26</f>
        <v>0</v>
      </c>
      <c r="R28" s="289">
        <f>ABS(Q28)</f>
        <v>0</v>
      </c>
      <c r="S28" s="139"/>
      <c r="T28" s="66">
        <v>3</v>
      </c>
      <c r="U28" s="965">
        <f>'HOJA DE CALCULO'!B35</f>
        <v>0</v>
      </c>
      <c r="V28" s="966"/>
      <c r="W28" s="1015">
        <f>'HOJA DE CALCULO'!C35</f>
        <v>0</v>
      </c>
      <c r="X28" s="966"/>
      <c r="AD28" s="66">
        <v>2</v>
      </c>
      <c r="AE28" s="965">
        <f>'HOJA DE CALCULO'!H34</f>
        <v>0</v>
      </c>
      <c r="AF28" s="966"/>
      <c r="AG28" s="1015">
        <f>'HOJA DE CALCULO'!I34</f>
        <v>0</v>
      </c>
      <c r="AH28" s="966"/>
      <c r="AK28" s="241"/>
      <c r="AL28" s="237"/>
      <c r="AM28" s="237"/>
      <c r="AN28" s="239"/>
      <c r="AO28" s="239"/>
      <c r="AP28" s="1006"/>
      <c r="AQ28" s="1006"/>
      <c r="AR28" s="1006"/>
      <c r="AS28" s="176"/>
      <c r="AT28" s="184"/>
      <c r="AU28" s="179"/>
      <c r="AV28" s="181"/>
      <c r="AW28" s="185"/>
      <c r="AX28" s="181"/>
      <c r="AY28" s="176"/>
      <c r="AZ28" s="176"/>
      <c r="BA28" s="176"/>
      <c r="BF28" s="16"/>
      <c r="BI28" s="8"/>
      <c r="BM28" s="15"/>
      <c r="BN28" s="32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</row>
    <row r="29" spans="1:80" ht="15.75" thickBot="1">
      <c r="A29" s="201"/>
      <c r="B29" s="401"/>
      <c r="C29" s="522"/>
      <c r="D29" s="394"/>
      <c r="E29" s="218"/>
      <c r="F29" s="218"/>
      <c r="G29" s="74"/>
      <c r="H29" s="74"/>
      <c r="I29" s="204"/>
      <c r="L29" s="42"/>
      <c r="M29" s="39"/>
      <c r="O29" s="120">
        <v>4</v>
      </c>
      <c r="P29" s="254">
        <f>'HOJA DE CALCULO'!C24</f>
        <v>0</v>
      </c>
      <c r="Q29" s="288">
        <f>P29-$P$26</f>
        <v>0</v>
      </c>
      <c r="R29" s="289">
        <f>ABS(Q29)</f>
        <v>0</v>
      </c>
      <c r="S29" s="139"/>
      <c r="T29" s="66">
        <v>4</v>
      </c>
      <c r="U29" s="965">
        <f>'HOJA DE CALCULO'!B36</f>
        <v>0</v>
      </c>
      <c r="V29" s="966"/>
      <c r="W29" s="1015">
        <f>'HOJA DE CALCULO'!C36</f>
        <v>0</v>
      </c>
      <c r="X29" s="966"/>
      <c r="AD29" s="66">
        <v>3</v>
      </c>
      <c r="AE29" s="965">
        <f>'HOJA DE CALCULO'!H35</f>
        <v>0</v>
      </c>
      <c r="AF29" s="966"/>
      <c r="AG29" s="1015">
        <f>'HOJA DE CALCULO'!I35</f>
        <v>0</v>
      </c>
      <c r="AH29" s="966"/>
      <c r="AK29" s="241"/>
      <c r="AL29" s="237"/>
      <c r="AM29" s="237"/>
      <c r="AN29" s="239"/>
      <c r="AO29" s="239"/>
      <c r="AP29" s="174"/>
      <c r="AQ29" s="174"/>
      <c r="AR29" s="174"/>
      <c r="AS29" s="176"/>
      <c r="AT29" s="184"/>
      <c r="AU29" s="179"/>
      <c r="AV29" s="181"/>
      <c r="AW29" s="185"/>
      <c r="AX29" s="181"/>
      <c r="AY29" s="176"/>
      <c r="AZ29" s="176"/>
      <c r="BA29" s="176"/>
      <c r="BF29" s="16"/>
      <c r="BI29" s="8"/>
      <c r="BM29" s="33"/>
      <c r="BN29" s="2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</row>
    <row r="30" spans="1:80" ht="15.75" thickBot="1">
      <c r="A30" s="201"/>
      <c r="B30" s="401"/>
      <c r="C30" s="402"/>
      <c r="D30" s="394"/>
      <c r="E30" s="218"/>
      <c r="F30" s="218"/>
      <c r="G30" s="74"/>
      <c r="H30" s="74"/>
      <c r="I30" s="204"/>
      <c r="L30" s="42"/>
      <c r="M30" s="39"/>
      <c r="O30" s="121">
        <v>5</v>
      </c>
      <c r="P30" s="255">
        <f>'HOJA DE CALCULO'!C25</f>
        <v>0</v>
      </c>
      <c r="Q30" s="290">
        <f>P30-$P$26</f>
        <v>0</v>
      </c>
      <c r="R30" s="291">
        <f>ABS(Q30)</f>
        <v>0</v>
      </c>
      <c r="S30" s="142">
        <f>AVERAGE(P26:P30)</f>
        <v>0</v>
      </c>
      <c r="T30" s="67">
        <v>5</v>
      </c>
      <c r="U30" s="962">
        <f>'HOJA DE CALCULO'!B37</f>
        <v>0</v>
      </c>
      <c r="V30" s="963"/>
      <c r="W30" s="964">
        <f>'HOJA DE CALCULO'!C37</f>
        <v>0</v>
      </c>
      <c r="X30" s="963"/>
      <c r="AD30" s="66">
        <v>4</v>
      </c>
      <c r="AE30" s="965">
        <f>'HOJA DE CALCULO'!H36</f>
        <v>0</v>
      </c>
      <c r="AF30" s="966"/>
      <c r="AG30" s="1015">
        <f>'HOJA DE CALCULO'!I36</f>
        <v>0</v>
      </c>
      <c r="AH30" s="966"/>
      <c r="AK30" s="241"/>
      <c r="AL30" s="237"/>
      <c r="AM30" s="237"/>
      <c r="AN30" s="239"/>
      <c r="AO30" s="239"/>
      <c r="AP30" s="174"/>
      <c r="AQ30" s="174"/>
      <c r="AR30" s="174"/>
      <c r="AS30" s="176"/>
      <c r="AT30" s="184"/>
      <c r="AU30" s="179"/>
      <c r="AV30" s="181"/>
      <c r="AW30" s="185"/>
      <c r="AX30" s="181"/>
      <c r="AY30" s="176"/>
      <c r="AZ30" s="176"/>
      <c r="BA30" s="176"/>
      <c r="BF30" s="16"/>
      <c r="BI30" s="8"/>
      <c r="BM30" s="989"/>
      <c r="BN30" s="990"/>
      <c r="BO30" s="990"/>
      <c r="BP30" s="990"/>
      <c r="BQ30" s="990"/>
      <c r="BR30" s="990"/>
      <c r="BS30" s="990"/>
      <c r="BT30" s="990"/>
      <c r="BU30" s="990"/>
      <c r="BV30" s="990"/>
      <c r="BW30" s="990"/>
      <c r="BX30" s="990"/>
      <c r="BY30" s="990"/>
      <c r="BZ30" s="990"/>
      <c r="CA30" s="990"/>
      <c r="CB30" s="990"/>
    </row>
    <row r="31" spans="1:80" ht="15.75" thickBot="1">
      <c r="A31" s="201"/>
      <c r="B31" s="401"/>
      <c r="C31" s="402"/>
      <c r="D31" s="394"/>
      <c r="E31" s="218"/>
      <c r="F31" s="218"/>
      <c r="G31" s="74"/>
      <c r="H31" s="74"/>
      <c r="I31" s="204"/>
      <c r="L31" s="42"/>
      <c r="M31" s="39"/>
      <c r="O31" s="944" t="s">
        <v>88</v>
      </c>
      <c r="P31" s="945"/>
      <c r="Q31" s="144">
        <f>MAX(R27:R30)</f>
        <v>0</v>
      </c>
      <c r="R31" s="145" t="str">
        <f>P25</f>
        <v>g</v>
      </c>
      <c r="S31" s="139"/>
      <c r="T31" s="133"/>
      <c r="U31" s="1009" t="s">
        <v>77</v>
      </c>
      <c r="V31" s="1010"/>
      <c r="W31" s="960">
        <f>STDEV(W26:X30)</f>
        <v>0</v>
      </c>
      <c r="X31" s="961"/>
      <c r="AD31" s="67">
        <v>5</v>
      </c>
      <c r="AE31" s="962">
        <f>'HOJA DE CALCULO'!H37</f>
        <v>0</v>
      </c>
      <c r="AF31" s="963"/>
      <c r="AG31" s="964">
        <f>'HOJA DE CALCULO'!I37</f>
        <v>0</v>
      </c>
      <c r="AH31" s="963"/>
      <c r="AK31" s="241"/>
      <c r="AL31" s="237"/>
      <c r="AM31" s="237"/>
      <c r="AN31" s="239"/>
      <c r="AO31" s="239"/>
      <c r="AP31" s="1001"/>
      <c r="AQ31" s="1001"/>
      <c r="AR31" s="1001"/>
      <c r="AS31" s="176"/>
      <c r="AT31" s="184"/>
      <c r="AU31" s="179"/>
      <c r="AV31" s="181"/>
      <c r="AW31" s="185"/>
      <c r="AX31" s="181"/>
      <c r="AY31" s="176"/>
      <c r="AZ31" s="176"/>
      <c r="BA31" s="176"/>
      <c r="BF31" s="16"/>
      <c r="BI31" s="8"/>
    </row>
    <row r="32" spans="1:80" ht="15.75" thickBot="1">
      <c r="A32" s="201"/>
      <c r="B32" s="401"/>
      <c r="C32" s="402"/>
      <c r="D32" s="394"/>
      <c r="E32" s="218"/>
      <c r="F32" s="218"/>
      <c r="G32" s="74"/>
      <c r="H32" s="74"/>
      <c r="I32" s="204"/>
      <c r="L32" s="42"/>
      <c r="M32" s="39"/>
      <c r="O32" s="146" t="s">
        <v>28</v>
      </c>
      <c r="P32" s="287" t="e">
        <f>Q31/(2*Q22*SQRT(3))</f>
        <v>#DIV/0!</v>
      </c>
      <c r="Q32" s="147" t="s">
        <v>29</v>
      </c>
      <c r="R32" s="148"/>
      <c r="S32" s="141"/>
      <c r="T32" s="133" t="s">
        <v>11</v>
      </c>
      <c r="U32" s="116" t="s">
        <v>100</v>
      </c>
      <c r="V32" s="109"/>
      <c r="W32" s="108"/>
      <c r="X32" s="134"/>
      <c r="AD32" s="133"/>
      <c r="AE32" s="1009" t="s">
        <v>77</v>
      </c>
      <c r="AF32" s="1010"/>
      <c r="AG32" s="960">
        <f>STDEV(AG27:AH31)</f>
        <v>0</v>
      </c>
      <c r="AH32" s="961"/>
      <c r="AK32" s="179"/>
      <c r="AL32" s="179"/>
      <c r="AM32" s="180"/>
      <c r="AN32" s="182"/>
      <c r="AO32" s="183"/>
      <c r="AP32" s="1006"/>
      <c r="AQ32" s="1006"/>
      <c r="AR32" s="1006"/>
      <c r="AS32" s="176"/>
      <c r="AT32" s="184"/>
      <c r="AU32" s="179"/>
      <c r="AV32" s="181"/>
      <c r="AW32" s="185"/>
      <c r="AX32" s="181"/>
      <c r="AY32" s="176"/>
      <c r="AZ32" s="176"/>
      <c r="BA32" s="176"/>
      <c r="BF32" s="16"/>
      <c r="BI32" s="8"/>
    </row>
    <row r="33" spans="1:75" ht="15.75" thickBot="1">
      <c r="A33" s="201"/>
      <c r="B33" s="401"/>
      <c r="C33" s="402"/>
      <c r="D33" s="394"/>
      <c r="E33" s="218"/>
      <c r="F33" s="218"/>
      <c r="G33" s="74"/>
      <c r="H33" s="74"/>
      <c r="I33" s="204"/>
      <c r="L33" s="42"/>
      <c r="M33" s="39"/>
      <c r="R33" s="53"/>
      <c r="S33" s="35"/>
      <c r="T33" s="7"/>
      <c r="U33" s="116" t="s">
        <v>79</v>
      </c>
      <c r="V33" s="116"/>
      <c r="W33" s="116"/>
      <c r="X33" s="135"/>
      <c r="AD33" s="133" t="s">
        <v>11</v>
      </c>
      <c r="AE33" s="116" t="s">
        <v>100</v>
      </c>
      <c r="AF33" s="109"/>
      <c r="AG33" s="108"/>
      <c r="AH33" s="134"/>
      <c r="AK33" s="70"/>
      <c r="AL33" s="70"/>
      <c r="AM33" s="71"/>
      <c r="AN33" s="72"/>
      <c r="AO33" s="73"/>
      <c r="AP33" s="1006"/>
      <c r="AQ33" s="1006"/>
      <c r="AR33" s="1006"/>
      <c r="AS33" s="176"/>
      <c r="AT33" s="184"/>
      <c r="AU33" s="179"/>
      <c r="AV33" s="181"/>
      <c r="AW33" s="185"/>
      <c r="AX33" s="181"/>
      <c r="AY33" s="176"/>
      <c r="AZ33" s="176"/>
      <c r="BA33" s="176"/>
      <c r="BB33" s="176"/>
      <c r="BF33" s="16"/>
      <c r="BI33" s="8"/>
    </row>
    <row r="34" spans="1:75" ht="15.75" thickBot="1">
      <c r="A34" s="201"/>
      <c r="B34" s="401"/>
      <c r="C34" s="402"/>
      <c r="D34" s="394"/>
      <c r="E34" s="74"/>
      <c r="F34" s="74"/>
      <c r="G34" s="219"/>
      <c r="H34" s="74"/>
      <c r="I34" s="204"/>
      <c r="L34" s="42"/>
      <c r="M34" s="39"/>
      <c r="O34" s="755" t="s">
        <v>53</v>
      </c>
      <c r="P34" s="756"/>
      <c r="Q34" s="757"/>
      <c r="T34" s="136"/>
      <c r="U34" s="137" t="s">
        <v>80</v>
      </c>
      <c r="V34" s="137"/>
      <c r="W34" s="137"/>
      <c r="X34" s="138"/>
      <c r="AD34" s="7"/>
      <c r="AE34" s="1011" t="s">
        <v>79</v>
      </c>
      <c r="AF34" s="1011"/>
      <c r="AG34" s="1011"/>
      <c r="AH34" s="1012"/>
      <c r="AK34" s="70"/>
      <c r="AL34" s="70"/>
      <c r="AM34" s="71"/>
      <c r="AN34" s="72"/>
      <c r="AO34" s="73"/>
      <c r="AP34" s="1006"/>
      <c r="AQ34" s="1006"/>
      <c r="AR34" s="1006"/>
      <c r="AS34" s="176"/>
      <c r="AT34" s="184"/>
      <c r="AU34" s="179"/>
      <c r="AV34" s="181"/>
      <c r="AW34" s="185"/>
      <c r="AX34" s="181"/>
      <c r="AY34" s="176"/>
      <c r="AZ34" s="176"/>
      <c r="BA34" s="176"/>
      <c r="BB34" s="176"/>
      <c r="BF34" s="16"/>
      <c r="BI34" s="8"/>
    </row>
    <row r="35" spans="1:75" ht="15.75" thickBot="1">
      <c r="A35" s="201"/>
      <c r="B35" s="74"/>
      <c r="C35" s="74"/>
      <c r="D35" s="74"/>
      <c r="E35" s="546"/>
      <c r="F35" s="546"/>
      <c r="G35" s="546"/>
      <c r="H35" s="547"/>
      <c r="I35" s="204"/>
      <c r="L35" s="42"/>
      <c r="M35" s="39"/>
      <c r="O35" s="63" t="s">
        <v>30</v>
      </c>
      <c r="P35" s="63" t="s">
        <v>67</v>
      </c>
      <c r="Q35" s="63" t="s">
        <v>68</v>
      </c>
      <c r="R35" s="6"/>
      <c r="S35" s="6"/>
      <c r="T35" s="107"/>
      <c r="V35" s="116"/>
      <c r="W35" s="1013"/>
      <c r="X35" s="1013"/>
      <c r="AD35" s="136"/>
      <c r="AE35" s="137" t="s">
        <v>80</v>
      </c>
      <c r="AF35" s="137"/>
      <c r="AG35" s="137"/>
      <c r="AH35" s="138"/>
      <c r="AK35" s="70"/>
      <c r="AL35" s="70"/>
      <c r="AM35" s="71"/>
      <c r="AN35" s="72"/>
      <c r="AO35" s="73"/>
      <c r="AP35" s="174"/>
      <c r="AQ35" s="174"/>
      <c r="AR35" s="174"/>
      <c r="AS35" s="176"/>
      <c r="AT35" s="184"/>
      <c r="AU35" s="179"/>
      <c r="AV35" s="181"/>
      <c r="AW35" s="185"/>
      <c r="AX35" s="181"/>
      <c r="AY35" s="176"/>
      <c r="AZ35" s="176"/>
      <c r="BA35" s="176"/>
      <c r="BB35" s="176"/>
      <c r="BF35" s="16"/>
      <c r="BI35" s="8"/>
    </row>
    <row r="36" spans="1:75" ht="15.75" thickBot="1">
      <c r="A36" s="201"/>
      <c r="B36" s="545" t="s">
        <v>106</v>
      </c>
      <c r="C36" s="546"/>
      <c r="D36" s="546"/>
      <c r="E36" s="74"/>
      <c r="F36" s="74"/>
      <c r="G36" s="74"/>
      <c r="H36" s="204"/>
      <c r="I36" s="204"/>
      <c r="L36" s="42"/>
      <c r="M36" s="39"/>
      <c r="O36" s="312" t="str">
        <f>P25</f>
        <v>g</v>
      </c>
      <c r="P36" s="312" t="str">
        <f>O36</f>
        <v>g</v>
      </c>
      <c r="Q36" s="312" t="str">
        <f>P36</f>
        <v>g</v>
      </c>
      <c r="R36" s="6"/>
      <c r="S36" s="6"/>
      <c r="U36" s="110"/>
      <c r="V36" s="111"/>
      <c r="W36" s="112"/>
      <c r="X36" s="111"/>
      <c r="AK36" s="70"/>
      <c r="AL36" s="70"/>
      <c r="AM36" s="71"/>
      <c r="AN36" s="72"/>
      <c r="AO36" s="55"/>
      <c r="AP36" s="186"/>
      <c r="AQ36" s="186"/>
      <c r="AR36" s="186"/>
      <c r="AS36" s="176"/>
      <c r="AT36" s="184"/>
      <c r="AU36" s="179"/>
      <c r="AV36" s="181"/>
      <c r="AW36" s="185"/>
      <c r="AX36" s="181"/>
      <c r="AY36" s="176"/>
      <c r="AZ36" s="176"/>
      <c r="BA36" s="176"/>
      <c r="BB36" s="176"/>
      <c r="BF36" s="16"/>
      <c r="BI36" s="8"/>
    </row>
    <row r="37" spans="1:75" ht="15.75" customHeight="1" thickBot="1">
      <c r="A37" s="201"/>
      <c r="B37" s="201"/>
      <c r="C37" s="74"/>
      <c r="D37" s="74"/>
      <c r="E37" s="74"/>
      <c r="F37" s="74"/>
      <c r="G37" s="74"/>
      <c r="H37" s="204"/>
      <c r="I37" s="204"/>
      <c r="L37" s="42"/>
      <c r="M37" s="39"/>
      <c r="O37" s="643" t="e">
        <f>'HOJA DE CALCULO'!A43</f>
        <v>#N/A</v>
      </c>
      <c r="P37" s="324">
        <f>'HOJA DE CALCULO'!B43</f>
        <v>0</v>
      </c>
      <c r="Q37" s="641">
        <f>'HOJA DE CALCULO'!C43</f>
        <v>0</v>
      </c>
      <c r="R37" s="64"/>
      <c r="S37" s="17"/>
      <c r="T37" s="64"/>
      <c r="U37" s="113"/>
      <c r="V37" s="114"/>
      <c r="W37" s="115"/>
      <c r="X37" s="59"/>
      <c r="AD37" s="543"/>
      <c r="AE37" s="543"/>
      <c r="AF37" s="543"/>
      <c r="AG37" s="543"/>
      <c r="AH37" s="543"/>
      <c r="AI37" s="543"/>
      <c r="AJ37" s="543"/>
      <c r="AK37" s="543"/>
      <c r="AL37" s="543"/>
      <c r="AM37" s="36"/>
      <c r="AN37" s="55"/>
      <c r="AO37" s="35"/>
      <c r="AP37" s="186"/>
      <c r="AQ37" s="186"/>
      <c r="AR37" s="186"/>
      <c r="AS37" s="176"/>
      <c r="AT37" s="184"/>
      <c r="AU37" s="179"/>
      <c r="AV37" s="181"/>
      <c r="AW37" s="185"/>
      <c r="AX37" s="181"/>
      <c r="AY37" s="176"/>
      <c r="AZ37" s="176"/>
      <c r="BA37" s="176"/>
      <c r="BB37" s="176"/>
      <c r="BF37" s="16"/>
      <c r="BI37" s="8"/>
    </row>
    <row r="38" spans="1:75" ht="16.5" customHeight="1" thickBot="1">
      <c r="A38" s="201"/>
      <c r="B38" s="201"/>
      <c r="C38" s="74"/>
      <c r="D38" s="74"/>
      <c r="E38" s="74"/>
      <c r="F38" s="74"/>
      <c r="G38" s="74"/>
      <c r="H38" s="204"/>
      <c r="I38" s="204"/>
      <c r="L38" s="42"/>
      <c r="M38" s="39"/>
      <c r="O38" s="643" t="e">
        <f>'HOJA DE CALCULO'!A44</f>
        <v>#N/A</v>
      </c>
      <c r="P38" s="324">
        <f>'HOJA DE CALCULO'!B44</f>
        <v>0</v>
      </c>
      <c r="Q38" s="641">
        <f>'HOJA DE CALCULO'!C44</f>
        <v>0</v>
      </c>
      <c r="R38" s="64"/>
      <c r="S38" s="54"/>
      <c r="AD38" s="1056" t="s">
        <v>36</v>
      </c>
      <c r="AE38" s="1057"/>
      <c r="AF38" s="1057"/>
      <c r="AG38" s="1057"/>
      <c r="AH38" s="1057"/>
      <c r="AI38" s="1057"/>
      <c r="AJ38" s="1057"/>
      <c r="AK38" s="1057"/>
      <c r="AL38" s="1058"/>
      <c r="AM38" s="55"/>
      <c r="AN38" s="55"/>
      <c r="AP38" s="174"/>
      <c r="AQ38" s="187"/>
      <c r="AR38" s="174"/>
      <c r="AS38" s="176"/>
      <c r="AT38" s="184"/>
      <c r="AU38" s="179"/>
      <c r="AV38" s="181"/>
      <c r="AW38" s="185"/>
      <c r="AX38" s="181"/>
      <c r="AY38" s="176"/>
      <c r="AZ38" s="176"/>
      <c r="BA38" s="176"/>
      <c r="BB38" s="176"/>
      <c r="BF38" s="16"/>
      <c r="BI38" s="8"/>
    </row>
    <row r="39" spans="1:75" ht="13.5" thickBot="1">
      <c r="A39" s="201"/>
      <c r="B39" s="201"/>
      <c r="C39" s="74"/>
      <c r="D39" s="74"/>
      <c r="E39" s="74"/>
      <c r="F39" s="74"/>
      <c r="G39" s="74"/>
      <c r="H39" s="204"/>
      <c r="I39" s="204"/>
      <c r="L39" s="42"/>
      <c r="M39" s="39"/>
      <c r="O39" s="643" t="e">
        <f>'HOJA DE CALCULO'!A45</f>
        <v>#N/A</v>
      </c>
      <c r="P39" s="323">
        <f>'HOJA DE CALCULO'!B45</f>
        <v>0</v>
      </c>
      <c r="Q39" s="641">
        <f>'HOJA DE CALCULO'!C45</f>
        <v>0</v>
      </c>
      <c r="R39" s="64"/>
      <c r="S39" s="54"/>
      <c r="AD39" s="850" t="s">
        <v>72</v>
      </c>
      <c r="AE39" s="763" t="s">
        <v>63</v>
      </c>
      <c r="AF39" s="1059"/>
      <c r="AG39" s="1059"/>
      <c r="AH39" s="1059"/>
      <c r="AI39" s="1059"/>
      <c r="AJ39" s="1059"/>
      <c r="AK39" s="1059"/>
      <c r="AL39" s="764"/>
      <c r="AM39" s="17"/>
      <c r="AP39" s="174"/>
      <c r="AQ39" s="187"/>
      <c r="AR39" s="188"/>
      <c r="AS39" s="176"/>
      <c r="AT39" s="184"/>
      <c r="AU39" s="179"/>
      <c r="AV39" s="181"/>
      <c r="AW39" s="185"/>
      <c r="AX39" s="181"/>
      <c r="AY39" s="176"/>
      <c r="AZ39" s="176"/>
      <c r="BA39" s="176"/>
      <c r="BB39" s="176"/>
      <c r="BF39" s="16"/>
      <c r="BI39" s="8"/>
    </row>
    <row r="40" spans="1:75" ht="13.5" thickBot="1">
      <c r="A40" s="201"/>
      <c r="B40" s="201"/>
      <c r="C40" s="74"/>
      <c r="D40" s="74"/>
      <c r="E40" s="74"/>
      <c r="F40" s="74"/>
      <c r="G40" s="74"/>
      <c r="H40" s="204"/>
      <c r="I40" s="204"/>
      <c r="L40" s="42"/>
      <c r="M40" s="39"/>
      <c r="O40" s="643" t="e">
        <f>'HOJA DE CALCULO'!A46</f>
        <v>#N/A</v>
      </c>
      <c r="P40" s="323">
        <f>'HOJA DE CALCULO'!B46</f>
        <v>0</v>
      </c>
      <c r="Q40" s="641">
        <f>'HOJA DE CALCULO'!C46</f>
        <v>0</v>
      </c>
      <c r="R40" s="64"/>
      <c r="AD40" s="837"/>
      <c r="AE40" s="196">
        <v>20</v>
      </c>
      <c r="AF40" s="196">
        <v>15</v>
      </c>
      <c r="AG40" s="196">
        <v>10</v>
      </c>
      <c r="AH40" s="196">
        <v>7</v>
      </c>
      <c r="AI40" s="196">
        <v>5</v>
      </c>
      <c r="AJ40" s="196">
        <v>3</v>
      </c>
      <c r="AK40" s="196">
        <v>2</v>
      </c>
      <c r="AL40" s="196">
        <v>1</v>
      </c>
      <c r="AM40" s="56"/>
      <c r="AN40" s="16"/>
      <c r="AP40" s="174"/>
      <c r="AQ40" s="188"/>
      <c r="AR40" s="174"/>
      <c r="AS40" s="176"/>
      <c r="AT40" s="184"/>
      <c r="AU40" s="179"/>
      <c r="AV40" s="181"/>
      <c r="AW40" s="185"/>
      <c r="AX40" s="181"/>
      <c r="AY40" s="176"/>
      <c r="AZ40" s="176"/>
      <c r="BA40" s="176"/>
      <c r="BB40" s="176"/>
      <c r="BF40" s="16"/>
      <c r="BI40" s="8"/>
    </row>
    <row r="41" spans="1:75" ht="13.5" thickBot="1">
      <c r="A41" s="201"/>
      <c r="B41" s="201"/>
      <c r="C41" s="74"/>
      <c r="D41" s="74"/>
      <c r="E41" s="74"/>
      <c r="F41" s="74"/>
      <c r="G41" s="74"/>
      <c r="H41" s="204"/>
      <c r="I41" s="204"/>
      <c r="L41" s="42"/>
      <c r="M41" s="39"/>
      <c r="O41" s="643" t="e">
        <f>'HOJA DE CALCULO'!A47</f>
        <v>#N/A</v>
      </c>
      <c r="P41" s="323">
        <f>'HOJA DE CALCULO'!B47</f>
        <v>0</v>
      </c>
      <c r="Q41" s="641">
        <f>'HOJA DE CALCULO'!C47</f>
        <v>0</v>
      </c>
      <c r="R41" s="64"/>
      <c r="Y41" s="16"/>
      <c r="AD41" s="262">
        <f>50*1000</f>
        <v>50000</v>
      </c>
      <c r="AE41" s="262">
        <f>113.23/1000</f>
        <v>0.11323</v>
      </c>
      <c r="AF41" s="262">
        <f>87.6/1000</f>
        <v>8.7599999999999997E-2</v>
      </c>
      <c r="AG41" s="262">
        <f>60.23/1000</f>
        <v>6.0229999999999999E-2</v>
      </c>
      <c r="AH41" s="262">
        <f>43.65/1000</f>
        <v>4.3650000000000001E-2</v>
      </c>
      <c r="AI41" s="262">
        <f>32.27/1000</f>
        <v>3.227E-2</v>
      </c>
      <c r="AJ41" s="262">
        <f>20.47/1000</f>
        <v>2.0469999999999999E-2</v>
      </c>
      <c r="AK41" s="262">
        <f>14.3/1000</f>
        <v>1.43E-2</v>
      </c>
      <c r="AL41" s="262">
        <f>7.79/1000</f>
        <v>7.79E-3</v>
      </c>
      <c r="AM41" s="56"/>
      <c r="AN41" s="16"/>
      <c r="AP41" s="174"/>
      <c r="AQ41" s="188"/>
      <c r="AR41" s="174"/>
      <c r="AS41" s="176"/>
      <c r="AT41" s="184"/>
      <c r="AU41" s="179"/>
      <c r="AV41" s="181"/>
      <c r="AW41" s="185"/>
      <c r="AX41" s="181"/>
      <c r="AY41" s="176"/>
      <c r="AZ41" s="176"/>
      <c r="BA41" s="176"/>
      <c r="BB41" s="176"/>
      <c r="BF41" s="16"/>
      <c r="BI41" s="8"/>
    </row>
    <row r="42" spans="1:75" ht="13.5" thickBot="1">
      <c r="A42" s="201"/>
      <c r="B42" s="201"/>
      <c r="C42" s="74"/>
      <c r="D42" s="74"/>
      <c r="E42" s="74"/>
      <c r="F42" s="74"/>
      <c r="G42" s="74"/>
      <c r="H42" s="204"/>
      <c r="I42" s="204"/>
      <c r="L42" s="42"/>
      <c r="M42" s="39"/>
      <c r="O42" s="643">
        <f>'HOJA DE CALCULO'!A48</f>
        <v>0</v>
      </c>
      <c r="P42" s="323">
        <f>'HOJA DE CALCULO'!B48</f>
        <v>0</v>
      </c>
      <c r="Q42" s="641">
        <f>'HOJA DE CALCULO'!C48</f>
        <v>2999.6</v>
      </c>
      <c r="R42" s="64"/>
      <c r="Y42" s="16"/>
      <c r="AD42" s="263">
        <f>20*1000</f>
        <v>20000</v>
      </c>
      <c r="AE42" s="263">
        <f>49.23/1000</f>
        <v>4.9229999999999996E-2</v>
      </c>
      <c r="AF42" s="263">
        <f>38/1000</f>
        <v>3.7999999999999999E-2</v>
      </c>
      <c r="AG42" s="263">
        <f>26.43/1000</f>
        <v>2.6429999999999999E-2</v>
      </c>
      <c r="AH42" s="263">
        <f>19.25/1000</f>
        <v>1.925E-2</v>
      </c>
      <c r="AI42" s="263">
        <f>14.3/1000</f>
        <v>1.43E-2</v>
      </c>
      <c r="AJ42" s="263">
        <f>9.14/1000</f>
        <v>9.1400000000000006E-3</v>
      </c>
      <c r="AK42" s="263">
        <f>6.42/1000</f>
        <v>6.4200000000000004E-3</v>
      </c>
      <c r="AL42" s="263">
        <f>3.53/1000</f>
        <v>3.5299999999999997E-3</v>
      </c>
      <c r="AM42" s="56"/>
      <c r="AN42" s="16"/>
      <c r="AP42" s="174"/>
      <c r="AQ42" s="188"/>
      <c r="AR42" s="174"/>
      <c r="AS42" s="176"/>
      <c r="AT42" s="184"/>
      <c r="AU42" s="179"/>
      <c r="AV42" s="181"/>
      <c r="AW42" s="185"/>
      <c r="AX42" s="181"/>
      <c r="AY42" s="176"/>
      <c r="AZ42" s="176"/>
      <c r="BA42" s="176"/>
      <c r="BB42" s="176"/>
      <c r="BF42" s="16"/>
      <c r="BI42" s="8"/>
    </row>
    <row r="43" spans="1:75" ht="13.5" thickBot="1">
      <c r="A43" s="201"/>
      <c r="B43" s="201"/>
      <c r="C43" s="74"/>
      <c r="D43" s="74"/>
      <c r="E43" s="74"/>
      <c r="F43" s="74"/>
      <c r="G43" s="74"/>
      <c r="H43" s="204"/>
      <c r="I43" s="204"/>
      <c r="L43" s="41"/>
      <c r="M43" s="39"/>
      <c r="O43" s="643">
        <f>'HOJA DE CALCULO'!A49</f>
        <v>0</v>
      </c>
      <c r="P43" s="323">
        <f>'HOJA DE CALCULO'!B49</f>
        <v>0</v>
      </c>
      <c r="Q43" s="641">
        <f>'HOJA DE CALCULO'!C49</f>
        <v>3600</v>
      </c>
      <c r="R43" s="64"/>
      <c r="Y43" s="16"/>
      <c r="AD43" s="263">
        <f>10*1000</f>
        <v>10000</v>
      </c>
      <c r="AE43" s="263">
        <f>26.43/1000</f>
        <v>2.6429999999999999E-2</v>
      </c>
      <c r="AF43" s="263">
        <f>20.47/1000</f>
        <v>2.0469999999999999E-2</v>
      </c>
      <c r="AG43" s="263">
        <f>14.3/1000</f>
        <v>1.43E-2</v>
      </c>
      <c r="AH43" s="263">
        <f>10.45/1000</f>
        <v>1.0449999999999999E-2</v>
      </c>
      <c r="AI43" s="263">
        <f>7.79/1000</f>
        <v>7.79E-3</v>
      </c>
      <c r="AJ43" s="263">
        <f>5.01/1000</f>
        <v>5.0099999999999997E-3</v>
      </c>
      <c r="AK43" s="263">
        <f>3.53/1000</f>
        <v>3.5299999999999997E-3</v>
      </c>
      <c r="AL43" s="263">
        <f>1.96/1000</f>
        <v>1.9599999999999999E-3</v>
      </c>
      <c r="AM43" s="56"/>
      <c r="AP43" s="174"/>
      <c r="AQ43" s="188"/>
      <c r="AR43" s="174"/>
      <c r="AS43" s="176"/>
      <c r="AT43" s="184"/>
      <c r="AU43" s="179"/>
      <c r="AV43" s="181"/>
      <c r="AW43" s="185"/>
      <c r="AX43" s="181"/>
      <c r="AY43" s="176"/>
      <c r="AZ43" s="176"/>
      <c r="BA43" s="176"/>
      <c r="BB43" s="176"/>
    </row>
    <row r="44" spans="1:75" ht="15.75" thickBot="1">
      <c r="A44" s="201"/>
      <c r="B44" s="201"/>
      <c r="C44" s="74"/>
      <c r="D44" s="74"/>
      <c r="E44" s="74"/>
      <c r="F44" s="74"/>
      <c r="G44" s="74"/>
      <c r="H44" s="204"/>
      <c r="I44" s="204"/>
      <c r="L44" s="42"/>
      <c r="M44" s="39"/>
      <c r="O44" s="643">
        <f>'HOJA DE CALCULO'!A50</f>
        <v>0</v>
      </c>
      <c r="P44" s="323">
        <f>'HOJA DE CALCULO'!B50</f>
        <v>0</v>
      </c>
      <c r="Q44" s="641">
        <f>'HOJA DE CALCULO'!C50</f>
        <v>4200</v>
      </c>
      <c r="R44" s="64"/>
      <c r="Y44" s="16"/>
      <c r="AD44" s="263">
        <f>5*1000</f>
        <v>5000</v>
      </c>
      <c r="AE44" s="263">
        <f>14.3/1000</f>
        <v>1.43E-2</v>
      </c>
      <c r="AF44" s="263">
        <f>11.1/1000</f>
        <v>1.11E-2</v>
      </c>
      <c r="AG44" s="263">
        <f>7.49/1000</f>
        <v>7.4900000000000001E-3</v>
      </c>
      <c r="AH44" s="263">
        <f>5.72/1000</f>
        <v>5.7199999999999994E-3</v>
      </c>
      <c r="AI44" s="263">
        <f>4.28/1000</f>
        <v>4.28E-3</v>
      </c>
      <c r="AJ44" s="263">
        <f>2.76/1000</f>
        <v>2.7599999999999999E-3</v>
      </c>
      <c r="AK44" s="263">
        <f>1.96/1000</f>
        <v>1.9599999999999999E-3</v>
      </c>
      <c r="AL44" s="263">
        <f>1.09/1000</f>
        <v>1.09E-3</v>
      </c>
      <c r="AM44" s="56"/>
      <c r="AN44" s="16"/>
      <c r="AP44" s="174"/>
      <c r="AQ44" s="188"/>
      <c r="AR44" s="174"/>
      <c r="AS44" s="176"/>
      <c r="AT44" s="184"/>
      <c r="AU44" s="179"/>
      <c r="AV44" s="181"/>
      <c r="AW44" s="185"/>
      <c r="AX44" s="181"/>
      <c r="AY44" s="176"/>
      <c r="AZ44" s="176"/>
      <c r="BA44" s="176"/>
      <c r="BB44" s="176"/>
      <c r="BM44" s="48"/>
      <c r="BP44" s="1"/>
      <c r="BW44" s="11"/>
    </row>
    <row r="45" spans="1:75" ht="13.5" thickBot="1">
      <c r="A45" s="220"/>
      <c r="B45" s="201"/>
      <c r="C45" s="74"/>
      <c r="D45" s="74"/>
      <c r="E45" s="74"/>
      <c r="F45" s="74"/>
      <c r="G45" s="74"/>
      <c r="H45" s="204"/>
      <c r="I45" s="204"/>
      <c r="L45" s="42"/>
      <c r="M45" s="39"/>
      <c r="O45" s="643">
        <f>'HOJA DE CALCULO'!A51</f>
        <v>0</v>
      </c>
      <c r="P45" s="323">
        <f>'HOJA DE CALCULO'!B51</f>
        <v>0</v>
      </c>
      <c r="Q45" s="641">
        <f>'HOJA DE CALCULO'!C51</f>
        <v>4799.3999999999996</v>
      </c>
      <c r="R45" s="64"/>
      <c r="Y45" s="16"/>
      <c r="AD45" s="263">
        <f>2*1000</f>
        <v>2000</v>
      </c>
      <c r="AE45" s="263">
        <f>6.42/1000</f>
        <v>6.4200000000000004E-3</v>
      </c>
      <c r="AF45" s="263">
        <f>5.01/1000</f>
        <v>5.0099999999999997E-3</v>
      </c>
      <c r="AG45" s="263">
        <f>3.53/1000</f>
        <v>3.5299999999999997E-3</v>
      </c>
      <c r="AH45" s="263">
        <f>2.61/1000</f>
        <v>2.6099999999999999E-3</v>
      </c>
      <c r="AI45" s="263">
        <f>1.96/1000</f>
        <v>1.9599999999999999E-3</v>
      </c>
      <c r="AJ45" s="263">
        <f>1.27/1000</f>
        <v>1.2700000000000001E-3</v>
      </c>
      <c r="AK45" s="263">
        <f>0.91/1000</f>
        <v>9.1E-4</v>
      </c>
      <c r="AL45" s="263">
        <f>0.51/1000</f>
        <v>5.1000000000000004E-4</v>
      </c>
      <c r="AM45" s="56"/>
      <c r="AP45" s="174"/>
      <c r="AQ45" s="188"/>
      <c r="AR45" s="174"/>
      <c r="AS45" s="176"/>
      <c r="AT45" s="184"/>
      <c r="AU45" s="179"/>
      <c r="AV45" s="181"/>
      <c r="AW45" s="185"/>
      <c r="AX45" s="181"/>
      <c r="AY45" s="176"/>
      <c r="AZ45" s="176"/>
      <c r="BA45" s="176"/>
      <c r="BB45" s="176"/>
      <c r="BM45" s="18"/>
      <c r="BO45" s="18"/>
      <c r="BP45" s="1"/>
      <c r="BW45" s="11"/>
    </row>
    <row r="46" spans="1:75" ht="13.5" thickBot="1">
      <c r="A46" s="220"/>
      <c r="B46" s="201"/>
      <c r="C46" s="74"/>
      <c r="D46" s="74"/>
      <c r="E46" s="313"/>
      <c r="F46" s="313"/>
      <c r="G46" s="1061" t="s">
        <v>109</v>
      </c>
      <c r="H46" s="1062"/>
      <c r="I46" s="204"/>
      <c r="L46" s="42"/>
      <c r="M46" s="39"/>
      <c r="O46" s="643">
        <f>'HOJA DE CALCULO'!A52</f>
        <v>0</v>
      </c>
      <c r="P46" s="323">
        <f>'HOJA DE CALCULO'!B52</f>
        <v>0</v>
      </c>
      <c r="Q46" s="641">
        <f>'HOJA DE CALCULO'!C52</f>
        <v>5400</v>
      </c>
      <c r="R46" s="64"/>
      <c r="Y46" s="16"/>
      <c r="AD46" s="263">
        <f>1*1000</f>
        <v>1000</v>
      </c>
      <c r="AE46" s="263">
        <f>3.53/1000</f>
        <v>3.5299999999999997E-3</v>
      </c>
      <c r="AF46" s="263">
        <f>2.76/1000</f>
        <v>2.7599999999999999E-3</v>
      </c>
      <c r="AG46" s="263">
        <f>1.96/1000</f>
        <v>1.9599999999999999E-3</v>
      </c>
      <c r="AH46" s="263">
        <f>1.45/1000</f>
        <v>1.4499999999999999E-3</v>
      </c>
      <c r="AI46" s="263">
        <f>1.09/1000</f>
        <v>1.09E-3</v>
      </c>
      <c r="AJ46" s="263">
        <f>0.72/1000</f>
        <v>7.1999999999999994E-4</v>
      </c>
      <c r="AK46" s="263">
        <f>0.51/1000</f>
        <v>5.1000000000000004E-4</v>
      </c>
      <c r="AL46" s="263">
        <f>0.29/1000</f>
        <v>2.9E-4</v>
      </c>
      <c r="AM46" s="56"/>
      <c r="AP46" s="174"/>
      <c r="AQ46" s="188"/>
      <c r="AR46" s="174"/>
      <c r="AS46" s="176"/>
      <c r="AT46" s="184"/>
      <c r="AU46" s="179"/>
      <c r="AV46" s="181"/>
      <c r="AW46" s="185"/>
      <c r="AX46" s="181"/>
      <c r="AY46" s="176"/>
      <c r="AZ46" s="176"/>
      <c r="BA46" s="176"/>
      <c r="BB46" s="176"/>
      <c r="BM46" s="18"/>
      <c r="BN46" s="46"/>
      <c r="BO46" s="18"/>
      <c r="BP46" s="1"/>
      <c r="BT46" s="17"/>
      <c r="BU46" s="17"/>
      <c r="BW46" s="11"/>
    </row>
    <row r="47" spans="1:75" ht="14.25" customHeight="1" thickBot="1">
      <c r="A47" s="221"/>
      <c r="B47" s="1063" t="s">
        <v>107</v>
      </c>
      <c r="C47" s="1061"/>
      <c r="D47" s="313" t="s">
        <v>108</v>
      </c>
      <c r="E47" s="223"/>
      <c r="F47" s="223"/>
      <c r="G47" s="223"/>
      <c r="H47" s="224"/>
      <c r="I47" s="204"/>
      <c r="L47" s="42"/>
      <c r="M47" s="39"/>
      <c r="O47" s="643">
        <f>'HOJA DE CALCULO'!A53</f>
        <v>0</v>
      </c>
      <c r="P47" s="325">
        <f>'HOJA DE CALCULO'!B53</f>
        <v>0</v>
      </c>
      <c r="Q47" s="641">
        <f>'HOJA DE CALCULO'!C53</f>
        <v>5999.2</v>
      </c>
      <c r="AD47" s="263">
        <f>0.5*1000</f>
        <v>500</v>
      </c>
      <c r="AE47" s="263">
        <f>1.96/1000</f>
        <v>1.9599999999999999E-3</v>
      </c>
      <c r="AF47" s="263">
        <f>1.54/1000</f>
        <v>1.5400000000000001E-3</v>
      </c>
      <c r="AG47" s="263">
        <f>1.09/1000</f>
        <v>1.09E-3</v>
      </c>
      <c r="AH47" s="263">
        <f>0.81/1000</f>
        <v>8.1000000000000006E-4</v>
      </c>
      <c r="AI47" s="263">
        <f>0.61/1000</f>
        <v>6.0999999999999997E-4</v>
      </c>
      <c r="AJ47" s="263">
        <f>0.4/1000</f>
        <v>4.0000000000000002E-4</v>
      </c>
      <c r="AK47" s="263">
        <f>0.29/1000</f>
        <v>2.9E-4</v>
      </c>
      <c r="AL47" s="263">
        <f>0.17/1000</f>
        <v>1.7000000000000001E-4</v>
      </c>
      <c r="AM47" s="56"/>
      <c r="AP47" s="174"/>
      <c r="AQ47" s="188"/>
      <c r="AR47" s="174"/>
      <c r="AS47" s="176"/>
      <c r="AT47" s="184"/>
      <c r="AU47" s="179"/>
      <c r="AV47" s="181"/>
      <c r="AW47" s="185"/>
      <c r="AX47" s="181"/>
      <c r="AY47" s="176"/>
      <c r="AZ47" s="176"/>
      <c r="BA47" s="176"/>
      <c r="BB47" s="176"/>
      <c r="BM47" s="11"/>
      <c r="BN47" s="11"/>
      <c r="BO47" s="11"/>
      <c r="BP47" s="1"/>
      <c r="BT47" s="17"/>
      <c r="BU47" s="17"/>
      <c r="BW47" s="11"/>
    </row>
    <row r="48" spans="1:75" ht="13.5" thickBot="1">
      <c r="A48" s="201"/>
      <c r="B48" s="222"/>
      <c r="C48" s="223"/>
      <c r="D48" s="223"/>
      <c r="E48" s="74"/>
      <c r="F48" s="74"/>
      <c r="G48" s="74"/>
      <c r="H48" s="74"/>
      <c r="I48" s="204"/>
      <c r="AD48" s="263">
        <f>0.2*1000</f>
        <v>200</v>
      </c>
      <c r="AE48" s="263">
        <f>0.91/1000</f>
        <v>9.1E-4</v>
      </c>
      <c r="AF48" s="263">
        <f>0.72/1000</f>
        <v>7.1999999999999994E-4</v>
      </c>
      <c r="AG48" s="263">
        <f>0.51/1000</f>
        <v>5.1000000000000004E-4</v>
      </c>
      <c r="AH48" s="263">
        <f>0.38/1000</f>
        <v>3.8000000000000002E-4</v>
      </c>
      <c r="AI48" s="263">
        <f>0.29/1000</f>
        <v>2.9E-4</v>
      </c>
      <c r="AJ48" s="263">
        <f>0.19/1000</f>
        <v>1.9000000000000001E-4</v>
      </c>
      <c r="AK48" s="263">
        <f>0.14/1000</f>
        <v>1.4000000000000001E-4</v>
      </c>
      <c r="AL48" s="263">
        <f>0.08/1000</f>
        <v>8.0000000000000007E-5</v>
      </c>
      <c r="AM48" s="56"/>
      <c r="AO48" s="16"/>
      <c r="AP48" s="174"/>
      <c r="AQ48" s="188"/>
      <c r="AR48" s="174"/>
      <c r="AS48" s="176"/>
      <c r="AT48" s="184"/>
      <c r="AU48" s="179"/>
      <c r="AV48" s="181"/>
      <c r="AW48" s="185"/>
      <c r="AX48" s="181"/>
      <c r="AY48" s="176"/>
      <c r="AZ48" s="176"/>
      <c r="BA48" s="176"/>
      <c r="BB48" s="176"/>
      <c r="BM48" s="49"/>
      <c r="BN48" s="26"/>
      <c r="BO48" s="11"/>
      <c r="BP48" s="1"/>
      <c r="BT48" s="17"/>
      <c r="BU48" s="17"/>
      <c r="BW48" s="11"/>
    </row>
    <row r="49" spans="1:80" s="8" customFormat="1">
      <c r="A49" s="225" t="s">
        <v>48</v>
      </c>
      <c r="B49" s="74"/>
      <c r="C49" s="74"/>
      <c r="D49" s="74"/>
      <c r="E49" s="318"/>
      <c r="F49" s="318"/>
      <c r="G49" s="226">
        <f>X10</f>
        <v>0</v>
      </c>
      <c r="H49" s="8" t="str">
        <f>F8</f>
        <v>g</v>
      </c>
      <c r="I49" s="227"/>
      <c r="K49" s="1"/>
      <c r="L49" s="1"/>
      <c r="M49" s="1"/>
      <c r="N49" s="1"/>
      <c r="O49" s="1"/>
      <c r="P49" s="1"/>
      <c r="Q49" s="1"/>
      <c r="AD49" s="263">
        <f>0.1*1000</f>
        <v>100</v>
      </c>
      <c r="AE49" s="263">
        <f>0.51/1000</f>
        <v>5.1000000000000004E-4</v>
      </c>
      <c r="AF49" s="263">
        <f>0.4/1000</f>
        <v>4.0000000000000002E-4</v>
      </c>
      <c r="AG49" s="263">
        <f>0.29/1000</f>
        <v>2.9E-4</v>
      </c>
      <c r="AH49" s="263">
        <f>0.22/1000</f>
        <v>2.2000000000000001E-4</v>
      </c>
      <c r="AI49" s="263">
        <f>0.17/1000</f>
        <v>1.7000000000000001E-4</v>
      </c>
      <c r="AJ49" s="263">
        <f>0.11/1000</f>
        <v>1.1E-4</v>
      </c>
      <c r="AK49" s="263">
        <f>0.08/1000</f>
        <v>8.0000000000000007E-5</v>
      </c>
      <c r="AL49" s="263">
        <f>0.05/1000</f>
        <v>5.0000000000000002E-5</v>
      </c>
      <c r="AM49" s="56"/>
      <c r="AN49" s="1"/>
      <c r="AO49" s="1"/>
      <c r="AP49" s="174"/>
      <c r="AQ49" s="188"/>
      <c r="AR49" s="174"/>
      <c r="AS49" s="189"/>
      <c r="AT49" s="184"/>
      <c r="AU49" s="179"/>
      <c r="AV49" s="181"/>
      <c r="AW49" s="185"/>
      <c r="AX49" s="181"/>
      <c r="AY49" s="176"/>
      <c r="AZ49" s="176"/>
      <c r="BA49" s="176"/>
      <c r="BB49" s="176"/>
      <c r="BM49" s="47"/>
      <c r="BN49" s="47"/>
      <c r="BO49" s="11"/>
      <c r="BP49" s="1"/>
      <c r="BQ49" s="1"/>
      <c r="BR49" s="1"/>
      <c r="BS49" s="1"/>
      <c r="BT49" s="17"/>
      <c r="BU49" s="17"/>
      <c r="BV49" s="1"/>
      <c r="BW49" s="11"/>
      <c r="BX49" s="1"/>
      <c r="BY49" s="1"/>
      <c r="BZ49" s="1"/>
      <c r="CA49" s="1"/>
      <c r="CB49" s="1"/>
    </row>
    <row r="50" spans="1:80">
      <c r="A50" s="220"/>
      <c r="B50" s="318" t="str">
        <f>R10</f>
        <v>TIEMPO DE ESTABILIZACIÓN SE REALIZO CON 3 LECTURAS A UNA CARGA DE:</v>
      </c>
      <c r="C50" s="318"/>
      <c r="D50" s="318"/>
      <c r="E50" s="228" t="s">
        <v>47</v>
      </c>
      <c r="F50" s="229"/>
      <c r="G50" s="230"/>
      <c r="H50" s="230"/>
      <c r="I50" s="231"/>
      <c r="AD50" s="263">
        <f>0.05*1000</f>
        <v>50</v>
      </c>
      <c r="AE50" s="263">
        <f>0.29/1000</f>
        <v>2.9E-4</v>
      </c>
      <c r="AF50" s="263">
        <f>0.23/1000</f>
        <v>2.3000000000000001E-4</v>
      </c>
      <c r="AG50" s="263">
        <f>0.17/1000</f>
        <v>1.7000000000000001E-4</v>
      </c>
      <c r="AH50" s="263">
        <f>0.12/1000</f>
        <v>1.1999999999999999E-4</v>
      </c>
      <c r="AI50" s="263">
        <f>0.09/1000</f>
        <v>8.9999999999999992E-5</v>
      </c>
      <c r="AJ50" s="263">
        <f>0.06/1000</f>
        <v>5.9999999999999995E-5</v>
      </c>
      <c r="AK50" s="263">
        <f>0.05/1000</f>
        <v>5.0000000000000002E-5</v>
      </c>
      <c r="AL50" s="263">
        <f>0.03/1000</f>
        <v>2.9999999999999997E-5</v>
      </c>
      <c r="AM50" s="56"/>
      <c r="AP50" s="174"/>
      <c r="AQ50" s="188"/>
      <c r="AR50" s="174"/>
      <c r="AS50" s="176"/>
      <c r="AT50" s="184"/>
      <c r="AU50" s="179"/>
      <c r="AV50" s="181"/>
      <c r="AW50" s="185"/>
      <c r="AX50" s="181"/>
      <c r="AY50" s="176"/>
      <c r="AZ50" s="176"/>
      <c r="BA50" s="176"/>
      <c r="BB50" s="176"/>
      <c r="BM50" s="49"/>
      <c r="BN50" s="47"/>
      <c r="BO50" s="11"/>
      <c r="BP50" s="1"/>
      <c r="BT50" s="17"/>
      <c r="BU50" s="17"/>
      <c r="BW50" s="11"/>
    </row>
    <row r="51" spans="1:80">
      <c r="A51" s="220" t="s">
        <v>152</v>
      </c>
      <c r="B51" s="1024" t="str">
        <f>R11</f>
        <v>TIEMPO DE ESTABILIZACION DE:</v>
      </c>
      <c r="C51" s="1024"/>
      <c r="D51" s="234">
        <f>'HOJA DE CALCULO'!G14</f>
        <v>4</v>
      </c>
      <c r="E51" s="74"/>
      <c r="F51" s="74"/>
      <c r="G51" s="74"/>
      <c r="H51" s="74"/>
      <c r="I51" s="204"/>
      <c r="Q51" s="69"/>
      <c r="AD51" s="263">
        <f>0.02*1000</f>
        <v>20</v>
      </c>
      <c r="AE51" s="263">
        <f>0.14/1000</f>
        <v>1.4000000000000001E-4</v>
      </c>
      <c r="AF51" s="263">
        <f>0.11/1000</f>
        <v>1.1E-4</v>
      </c>
      <c r="AG51" s="263">
        <f>0.08/1000</f>
        <v>8.0000000000000007E-5</v>
      </c>
      <c r="AH51" s="263">
        <f>0.06/1000</f>
        <v>5.9999999999999995E-5</v>
      </c>
      <c r="AI51" s="263">
        <f>0.05/1000</f>
        <v>5.0000000000000002E-5</v>
      </c>
      <c r="AJ51" s="263">
        <f>0.03/1000</f>
        <v>2.9999999999999997E-5</v>
      </c>
      <c r="AK51" s="263">
        <f>0.02/1000</f>
        <v>2.0000000000000002E-5</v>
      </c>
      <c r="AL51" s="263">
        <f>0.01/1000</f>
        <v>1.0000000000000001E-5</v>
      </c>
      <c r="AM51" s="56"/>
      <c r="AP51" s="174"/>
      <c r="AQ51" s="188"/>
      <c r="AR51" s="174"/>
      <c r="AS51" s="176"/>
      <c r="AT51" s="184"/>
      <c r="AU51" s="179"/>
      <c r="AV51" s="181"/>
      <c r="AW51" s="185"/>
      <c r="AX51" s="181"/>
      <c r="AY51" s="176"/>
      <c r="AZ51" s="176"/>
      <c r="BA51" s="176"/>
      <c r="BB51" s="176"/>
      <c r="BM51" s="49"/>
      <c r="BN51" s="47"/>
      <c r="BO51" s="11"/>
      <c r="BP51" s="1"/>
      <c r="BW51" s="11"/>
    </row>
    <row r="52" spans="1:80" ht="15.75" customHeight="1">
      <c r="A52" s="544" t="s">
        <v>154</v>
      </c>
      <c r="B52" s="318"/>
      <c r="C52" s="74"/>
      <c r="D52" s="74"/>
      <c r="E52" s="314"/>
      <c r="F52" s="314"/>
      <c r="G52" s="314"/>
      <c r="H52" s="314"/>
      <c r="I52" s="315"/>
      <c r="AD52" s="263">
        <f>0.01*1000</f>
        <v>10</v>
      </c>
      <c r="AE52" s="263">
        <f>0.08/1000</f>
        <v>8.0000000000000007E-5</v>
      </c>
      <c r="AF52" s="263">
        <f>0.06/1000</f>
        <v>5.9999999999999995E-5</v>
      </c>
      <c r="AG52" s="263">
        <f>0.05/1000</f>
        <v>5.0000000000000002E-5</v>
      </c>
      <c r="AH52" s="263">
        <f>0.03/1000</f>
        <v>2.9999999999999997E-5</v>
      </c>
      <c r="AI52" s="263">
        <f>0.03/1000</f>
        <v>2.9999999999999997E-5</v>
      </c>
      <c r="AJ52" s="263">
        <f>0.02/1000</f>
        <v>2.0000000000000002E-5</v>
      </c>
      <c r="AK52" s="263">
        <f>0.01/1000</f>
        <v>1.0000000000000001E-5</v>
      </c>
      <c r="AL52" s="263">
        <f>0.01/1000</f>
        <v>1.0000000000000001E-5</v>
      </c>
      <c r="AM52" s="56"/>
      <c r="AP52" s="174"/>
      <c r="AQ52" s="188"/>
      <c r="AR52" s="174"/>
      <c r="AS52" s="176"/>
      <c r="AT52" s="184"/>
      <c r="AU52" s="179"/>
      <c r="AV52" s="181"/>
      <c r="AW52" s="185"/>
      <c r="AX52" s="181"/>
      <c r="AY52" s="176"/>
      <c r="AZ52" s="176"/>
      <c r="BA52" s="176"/>
      <c r="BB52" s="176"/>
      <c r="BM52" s="49"/>
      <c r="BN52" s="47"/>
      <c r="BO52" s="11"/>
      <c r="BP52" s="1"/>
      <c r="BT52" s="17"/>
      <c r="BU52" s="17"/>
      <c r="BW52" s="11"/>
    </row>
    <row r="53" spans="1:80" ht="17.25" customHeight="1">
      <c r="A53" s="544"/>
      <c r="B53" s="314"/>
      <c r="C53" s="314"/>
      <c r="D53" s="314"/>
      <c r="E53" s="314"/>
      <c r="F53" s="314"/>
      <c r="G53" s="314"/>
      <c r="H53" s="314"/>
      <c r="I53" s="315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P53" s="174"/>
      <c r="AQ53" s="174"/>
      <c r="AR53" s="174"/>
      <c r="AS53" s="176"/>
      <c r="AT53" s="184"/>
      <c r="AU53" s="179"/>
      <c r="AV53" s="181"/>
      <c r="AW53" s="185"/>
      <c r="AX53" s="181"/>
      <c r="AY53" s="176"/>
      <c r="AZ53" s="176"/>
      <c r="BA53" s="176"/>
      <c r="BB53" s="176"/>
      <c r="BM53" s="11"/>
      <c r="BN53" s="62"/>
      <c r="BO53" s="11"/>
      <c r="BP53" s="1"/>
      <c r="BT53" s="17"/>
      <c r="BU53" s="17"/>
      <c r="BW53" s="11"/>
    </row>
    <row r="54" spans="1:80" ht="15.75" customHeight="1">
      <c r="A54" s="544" t="s">
        <v>155</v>
      </c>
      <c r="B54" s="314"/>
      <c r="C54" s="314"/>
      <c r="D54" s="314"/>
      <c r="E54" s="314"/>
      <c r="F54" s="314"/>
      <c r="G54" s="314"/>
      <c r="H54" s="314"/>
      <c r="I54" s="315"/>
      <c r="AP54" s="174"/>
      <c r="AQ54" s="174"/>
      <c r="AR54" s="174"/>
      <c r="AS54" s="176"/>
      <c r="AT54" s="184"/>
      <c r="AU54" s="179"/>
      <c r="AV54" s="181"/>
      <c r="AW54" s="185"/>
      <c r="AX54" s="181"/>
      <c r="AY54" s="176"/>
      <c r="AZ54" s="176"/>
      <c r="BA54" s="176"/>
      <c r="BB54" s="176"/>
      <c r="BM54" s="11"/>
      <c r="BN54" s="11"/>
      <c r="BO54" s="11"/>
      <c r="BP54" s="1"/>
      <c r="BY54" s="11"/>
      <c r="BZ54" s="11"/>
      <c r="CA54" s="11"/>
    </row>
    <row r="55" spans="1:80">
      <c r="A55" s="544"/>
      <c r="B55" s="314"/>
      <c r="C55" s="314"/>
      <c r="D55" s="314"/>
      <c r="E55" s="314"/>
      <c r="F55" s="314"/>
      <c r="G55" s="314"/>
      <c r="H55" s="314"/>
      <c r="I55" s="315"/>
      <c r="AP55" s="174"/>
      <c r="AQ55" s="174"/>
      <c r="AR55" s="174"/>
      <c r="AS55" s="176"/>
      <c r="AT55" s="184"/>
      <c r="AU55" s="179"/>
      <c r="AV55" s="181"/>
      <c r="AW55" s="185"/>
      <c r="AX55" s="181"/>
      <c r="AY55" s="176"/>
      <c r="AZ55" s="176"/>
      <c r="BA55" s="176"/>
      <c r="BB55" s="176"/>
      <c r="BM55" s="19"/>
      <c r="BO55" s="19"/>
      <c r="BP55" s="1"/>
    </row>
    <row r="56" spans="1:80" ht="21" customHeight="1">
      <c r="A56" s="351" t="s">
        <v>31</v>
      </c>
      <c r="B56" s="314"/>
      <c r="C56" s="314"/>
      <c r="D56" s="314"/>
      <c r="E56" s="314"/>
      <c r="F56" s="314"/>
      <c r="G56" s="314"/>
      <c r="H56" s="314"/>
      <c r="I56" s="315"/>
      <c r="AP56" s="174"/>
      <c r="AQ56" s="174"/>
      <c r="AR56" s="174"/>
      <c r="AS56" s="176"/>
      <c r="AT56" s="184"/>
      <c r="AU56" s="179"/>
      <c r="AV56" s="181"/>
      <c r="AW56" s="185"/>
      <c r="AX56" s="181"/>
      <c r="AY56" s="176"/>
      <c r="AZ56" s="176"/>
      <c r="BA56" s="176"/>
      <c r="BB56" s="176"/>
      <c r="BM56" s="19"/>
      <c r="BO56" s="19"/>
      <c r="BP56" s="1"/>
    </row>
    <row r="57" spans="1:80" ht="18" customHeight="1" thickBot="1">
      <c r="A57" s="544" t="str">
        <f>'HOJA DE CALCULO'!A120:G120</f>
        <v>1.-Se encontro la bascula en correcta nivelacion, se realizo limpieza superficial a plato de pesada,</v>
      </c>
      <c r="B57" s="314"/>
      <c r="C57" s="314"/>
      <c r="D57" s="314"/>
      <c r="E57" s="314"/>
      <c r="F57" s="314"/>
      <c r="G57" s="314"/>
      <c r="H57" s="314"/>
      <c r="I57" s="315"/>
      <c r="AD57" s="349"/>
      <c r="AE57" s="350"/>
      <c r="AF57" s="350"/>
      <c r="AG57" s="349"/>
      <c r="AH57" s="349"/>
      <c r="AJ57" s="317"/>
      <c r="AK57" s="317"/>
      <c r="AL57" s="317"/>
      <c r="AM57" s="161"/>
      <c r="AN57" s="317"/>
      <c r="AP57" s="174"/>
      <c r="AQ57" s="174"/>
      <c r="AR57" s="174"/>
      <c r="AS57" s="176"/>
      <c r="AT57" s="184"/>
      <c r="AU57" s="179"/>
      <c r="AV57" s="181"/>
      <c r="AW57" s="185"/>
      <c r="AX57" s="181"/>
      <c r="AY57" s="176"/>
      <c r="AZ57" s="176"/>
      <c r="BA57" s="176"/>
      <c r="BB57" s="176"/>
      <c r="BM57" s="19"/>
      <c r="BO57" s="19"/>
      <c r="BP57" s="1"/>
    </row>
    <row r="58" spans="1:80" ht="18" customHeight="1" thickBot="1">
      <c r="A58" s="544" t="str">
        <f>'HOJA DE CALCULO'!A121:I121</f>
        <v>2.-Se realizaron precargas con una carga de 250 g para tomar el tiempo de establizacion que se estimo en 4 segundos.</v>
      </c>
      <c r="B58" s="314"/>
      <c r="C58" s="314"/>
      <c r="D58" s="314"/>
      <c r="E58" s="314"/>
      <c r="F58" s="314"/>
      <c r="G58" s="314"/>
      <c r="H58" s="314"/>
      <c r="I58" s="315"/>
      <c r="AD58" s="1060" t="s">
        <v>37</v>
      </c>
      <c r="AE58" s="1060"/>
      <c r="AF58" s="1060"/>
      <c r="AG58" s="1060"/>
      <c r="AH58" s="1060"/>
      <c r="AJ58" s="317"/>
      <c r="AK58" s="317"/>
      <c r="AL58" s="317"/>
      <c r="AM58" s="161"/>
      <c r="AN58" s="317"/>
      <c r="AP58" s="174"/>
      <c r="AQ58" s="174"/>
      <c r="AR58" s="174"/>
      <c r="AS58" s="176"/>
      <c r="AT58" s="184"/>
      <c r="AU58" s="179"/>
      <c r="AV58" s="181"/>
      <c r="AW58" s="185"/>
      <c r="AX58" s="181"/>
      <c r="AY58" s="176"/>
      <c r="AZ58" s="176"/>
      <c r="BA58" s="176"/>
      <c r="BB58" s="176"/>
      <c r="BM58" s="19"/>
      <c r="BO58" s="19"/>
      <c r="BP58" s="1"/>
    </row>
    <row r="59" spans="1:80" ht="18" customHeight="1">
      <c r="A59" s="544" t="str">
        <f>'HOJA DE CALCULO'!A122:I122</f>
        <v xml:space="preserve">3.-Se realizo ajuste interno del instrumento según instructivo </v>
      </c>
      <c r="B59" s="314"/>
      <c r="C59" s="314"/>
      <c r="D59" s="314"/>
      <c r="E59" s="314"/>
      <c r="F59" s="314"/>
      <c r="G59" s="314"/>
      <c r="H59" s="314"/>
      <c r="I59" s="315"/>
      <c r="AD59" s="347"/>
      <c r="AE59" s="865" t="s">
        <v>64</v>
      </c>
      <c r="AF59" s="799"/>
      <c r="AG59" s="1052" t="s">
        <v>65</v>
      </c>
      <c r="AH59" s="1053"/>
      <c r="AJ59" s="860" t="s">
        <v>38</v>
      </c>
      <c r="AK59" s="861"/>
      <c r="AL59" s="861"/>
      <c r="AM59" s="861"/>
      <c r="AN59" s="862"/>
      <c r="AP59" s="174"/>
      <c r="AQ59" s="174"/>
      <c r="AR59" s="174"/>
      <c r="AS59" s="176"/>
      <c r="AT59" s="184"/>
      <c r="AU59" s="179"/>
      <c r="AV59" s="181"/>
      <c r="AW59" s="185"/>
      <c r="AX59" s="181"/>
      <c r="AY59" s="176"/>
      <c r="AZ59" s="176"/>
      <c r="BA59" s="176"/>
      <c r="BB59" s="176"/>
      <c r="BM59" s="19"/>
      <c r="BO59" s="19"/>
      <c r="BP59" s="1"/>
    </row>
    <row r="60" spans="1:80" s="28" customFormat="1" ht="13.5" thickBot="1">
      <c r="A60" s="548"/>
      <c r="B60" s="314"/>
      <c r="C60" s="314"/>
      <c r="D60" s="314"/>
      <c r="E60" s="549"/>
      <c r="F60" s="549"/>
      <c r="G60" s="549"/>
      <c r="H60" s="549"/>
      <c r="I60" s="550"/>
      <c r="J60" s="23"/>
      <c r="O60" s="1"/>
      <c r="P60" s="1"/>
      <c r="Q60" s="1"/>
      <c r="AD60" s="368" t="s">
        <v>30</v>
      </c>
      <c r="AE60" s="1038">
        <f>AM63</f>
        <v>0</v>
      </c>
      <c r="AF60" s="1038"/>
      <c r="AG60" s="1054"/>
      <c r="AH60" s="1055"/>
      <c r="AI60" s="1"/>
      <c r="AJ60" s="853" t="s">
        <v>9</v>
      </c>
      <c r="AK60" s="854"/>
      <c r="AL60" s="854"/>
      <c r="AM60" s="161">
        <f>R7</f>
        <v>0</v>
      </c>
      <c r="AN60" s="162" t="s">
        <v>58</v>
      </c>
      <c r="AP60" s="174"/>
      <c r="AQ60" s="174"/>
      <c r="AR60" s="174"/>
      <c r="AS60" s="190"/>
      <c r="AT60" s="184"/>
      <c r="AU60" s="179"/>
      <c r="AV60" s="181"/>
      <c r="AW60" s="185"/>
      <c r="AX60" s="181"/>
      <c r="AY60" s="190"/>
      <c r="AZ60" s="190"/>
      <c r="BA60" s="190"/>
      <c r="BB60" s="190"/>
    </row>
    <row r="61" spans="1:80" ht="13.5" thickBot="1">
      <c r="A61" s="551"/>
      <c r="B61" s="549"/>
      <c r="C61" s="549"/>
      <c r="D61" s="549"/>
      <c r="E61" s="552"/>
      <c r="F61" s="552"/>
      <c r="G61" s="552"/>
      <c r="H61" s="552"/>
      <c r="I61" s="553"/>
      <c r="O61" s="28"/>
      <c r="P61" s="28"/>
      <c r="Q61" s="28"/>
      <c r="AD61" s="348" t="str">
        <f>S4</f>
        <v>g</v>
      </c>
      <c r="AE61" s="1026" t="s">
        <v>99</v>
      </c>
      <c r="AF61" s="1027"/>
      <c r="AG61" s="1036" t="str">
        <f>AE61</f>
        <v>c</v>
      </c>
      <c r="AH61" s="1037"/>
      <c r="AI61" s="28"/>
      <c r="AJ61" s="853" t="s">
        <v>101</v>
      </c>
      <c r="AK61" s="854"/>
      <c r="AL61" s="854"/>
      <c r="AM61" s="161">
        <f>R6</f>
        <v>0</v>
      </c>
      <c r="AN61" s="162" t="s">
        <v>58</v>
      </c>
      <c r="AP61" s="174"/>
      <c r="AQ61" s="174"/>
      <c r="AR61" s="174"/>
      <c r="AS61" s="176"/>
      <c r="AT61" s="184"/>
      <c r="AU61" s="179"/>
      <c r="AV61" s="181"/>
      <c r="AW61" s="185"/>
      <c r="AX61" s="181"/>
      <c r="AY61" s="176"/>
      <c r="AZ61" s="176"/>
      <c r="BA61" s="176"/>
      <c r="BB61" s="176"/>
      <c r="BN61" s="988"/>
      <c r="BO61" s="988"/>
      <c r="BP61" s="988"/>
      <c r="BQ61" s="57"/>
      <c r="BR61" s="58"/>
      <c r="BS61" s="2"/>
      <c r="BT61" s="57"/>
      <c r="BU61" s="57"/>
      <c r="BV61" s="988"/>
      <c r="BW61" s="988"/>
      <c r="BX61" s="988"/>
      <c r="BY61" s="57"/>
      <c r="BZ61" s="22"/>
      <c r="CA61" s="22"/>
    </row>
    <row r="62" spans="1:80" ht="13.5" thickBot="1">
      <c r="A62" s="74"/>
      <c r="B62" s="552"/>
      <c r="C62" s="552"/>
      <c r="D62" s="552"/>
      <c r="E62" s="74"/>
      <c r="F62" s="74"/>
      <c r="G62" s="74"/>
      <c r="H62" s="942"/>
      <c r="I62" s="943"/>
      <c r="AD62" s="158" t="e">
        <f t="shared" ref="AD62:AD72" si="3">O37</f>
        <v>#N/A</v>
      </c>
      <c r="AE62" s="855">
        <f>AJ43</f>
        <v>5.0099999999999997E-3</v>
      </c>
      <c r="AF62" s="856"/>
      <c r="AG62" s="863">
        <f>AE62/(SQRT(3))</f>
        <v>2.8925248486400251E-3</v>
      </c>
      <c r="AH62" s="864"/>
      <c r="AI62" s="28"/>
      <c r="AJ62" s="542"/>
      <c r="AK62" s="317"/>
      <c r="AL62" s="317"/>
      <c r="AM62" s="161"/>
      <c r="AN62" s="162"/>
      <c r="AP62" s="174"/>
      <c r="AQ62" s="174"/>
      <c r="AR62" s="174"/>
      <c r="AS62" s="176"/>
      <c r="AT62" s="183"/>
      <c r="AU62" s="179"/>
      <c r="AV62" s="176"/>
      <c r="AW62" s="179"/>
      <c r="AX62" s="179"/>
      <c r="AY62" s="176"/>
      <c r="AZ62" s="176"/>
      <c r="BA62" s="176"/>
      <c r="BB62" s="176"/>
      <c r="BP62" s="1"/>
    </row>
    <row r="63" spans="1:80" ht="13.5" customHeight="1" thickBot="1">
      <c r="B63" s="74"/>
      <c r="C63" s="74"/>
      <c r="D63" s="74"/>
      <c r="AD63" s="158" t="e">
        <f t="shared" si="3"/>
        <v>#N/A</v>
      </c>
      <c r="AE63" s="855">
        <f>AJ44</f>
        <v>2.7599999999999999E-3</v>
      </c>
      <c r="AF63" s="856"/>
      <c r="AG63" s="863">
        <f>AE63/(SQRT(3))</f>
        <v>1.5934867429633671E-3</v>
      </c>
      <c r="AH63" s="864"/>
      <c r="AJ63" s="866" t="s">
        <v>66</v>
      </c>
      <c r="AK63" s="867"/>
      <c r="AL63" s="867"/>
      <c r="AM63" s="195">
        <f>ABS(AM61-AM60)</f>
        <v>0</v>
      </c>
      <c r="AN63" s="163" t="s">
        <v>58</v>
      </c>
      <c r="AO63" s="16"/>
      <c r="AP63" s="174"/>
      <c r="AQ63" s="174"/>
      <c r="AR63" s="174"/>
      <c r="AS63" s="176"/>
      <c r="AT63" s="176"/>
      <c r="AU63" s="1025"/>
      <c r="AV63" s="1025"/>
      <c r="AW63" s="1025"/>
      <c r="AX63" s="1025"/>
      <c r="AY63" s="176"/>
      <c r="AZ63" s="1001"/>
      <c r="BA63" s="1001"/>
      <c r="BB63" s="1001"/>
      <c r="BP63" s="1"/>
    </row>
    <row r="64" spans="1:80">
      <c r="I64" s="11"/>
      <c r="AD64" s="159" t="e">
        <f t="shared" si="3"/>
        <v>#N/A</v>
      </c>
      <c r="AE64" s="872">
        <f>AJ43</f>
        <v>5.0099999999999997E-3</v>
      </c>
      <c r="AF64" s="873"/>
      <c r="AG64" s="870">
        <f t="shared" ref="AG64:AG72" si="4">AE64/(SQRT(3))</f>
        <v>2.8925248486400251E-3</v>
      </c>
      <c r="AH64" s="871"/>
      <c r="AK64" s="2"/>
      <c r="AP64" s="174"/>
      <c r="AQ64" s="174"/>
      <c r="AR64" s="174"/>
      <c r="AS64" s="176"/>
      <c r="AT64" s="1002"/>
      <c r="AU64" s="1025"/>
      <c r="AV64" s="1025"/>
      <c r="AW64" s="1025"/>
      <c r="AX64" s="1025"/>
      <c r="AY64" s="176"/>
      <c r="AZ64" s="1006"/>
      <c r="BA64" s="1006"/>
      <c r="BB64" s="1006"/>
      <c r="BP64" s="1"/>
    </row>
    <row r="65" spans="11:80">
      <c r="K65" s="28"/>
      <c r="L65" s="28"/>
      <c r="M65" s="28"/>
      <c r="N65" s="28"/>
      <c r="AD65" s="159" t="e">
        <f t="shared" si="3"/>
        <v>#N/A</v>
      </c>
      <c r="AE65" s="872">
        <f>AJ43+AJ44</f>
        <v>7.7699999999999991E-3</v>
      </c>
      <c r="AF65" s="873"/>
      <c r="AG65" s="870">
        <f t="shared" si="4"/>
        <v>4.486011591603392E-3</v>
      </c>
      <c r="AH65" s="871"/>
      <c r="AO65" s="59"/>
      <c r="AP65" s="174"/>
      <c r="AQ65" s="174"/>
      <c r="AR65" s="174"/>
      <c r="AS65" s="176"/>
      <c r="AT65" s="1002"/>
      <c r="AU65" s="177"/>
      <c r="AV65" s="178"/>
      <c r="AW65" s="178"/>
      <c r="AX65" s="178"/>
      <c r="AY65" s="176"/>
      <c r="AZ65" s="1006"/>
      <c r="BA65" s="1006"/>
      <c r="BB65" s="1006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</row>
    <row r="66" spans="11:80">
      <c r="K66" s="28"/>
      <c r="L66" s="28"/>
      <c r="M66" s="28"/>
      <c r="N66" s="28"/>
      <c r="O66" s="28"/>
      <c r="P66" s="28"/>
      <c r="Q66" s="28"/>
      <c r="AD66" s="159" t="e">
        <f t="shared" si="3"/>
        <v>#N/A</v>
      </c>
      <c r="AE66" s="872">
        <f>AJ42</f>
        <v>9.1400000000000006E-3</v>
      </c>
      <c r="AF66" s="873"/>
      <c r="AG66" s="870">
        <f t="shared" si="4"/>
        <v>5.2769814603931802E-3</v>
      </c>
      <c r="AH66" s="871"/>
      <c r="AI66" s="16"/>
      <c r="AK66" s="2"/>
      <c r="AO66" s="59"/>
      <c r="AP66" s="174"/>
      <c r="AQ66" s="174"/>
      <c r="AR66" s="174"/>
      <c r="AS66" s="176"/>
      <c r="AT66" s="183"/>
      <c r="AU66" s="177"/>
      <c r="AV66" s="177"/>
      <c r="AW66" s="177"/>
      <c r="AX66" s="177"/>
      <c r="AY66" s="176"/>
      <c r="AZ66" s="1006"/>
      <c r="BA66" s="1006"/>
      <c r="BB66" s="1006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</row>
    <row r="67" spans="11:80">
      <c r="K67" s="28"/>
      <c r="L67" s="28"/>
      <c r="M67" s="28"/>
      <c r="N67" s="28"/>
      <c r="O67" s="28"/>
      <c r="P67" s="28"/>
      <c r="Q67" s="28"/>
      <c r="AD67" s="159">
        <f t="shared" si="3"/>
        <v>0</v>
      </c>
      <c r="AE67" s="872">
        <f>AJ42+AJ44</f>
        <v>1.1900000000000001E-2</v>
      </c>
      <c r="AF67" s="873"/>
      <c r="AG67" s="870">
        <f t="shared" si="4"/>
        <v>6.8704682033565471E-3</v>
      </c>
      <c r="AH67" s="871"/>
      <c r="AK67" s="2"/>
      <c r="AP67" s="174"/>
      <c r="AQ67" s="174"/>
      <c r="AR67" s="174"/>
      <c r="AS67" s="176"/>
      <c r="AT67" s="184"/>
      <c r="AU67" s="179"/>
      <c r="AV67" s="181"/>
      <c r="AW67" s="180"/>
      <c r="AX67" s="181"/>
      <c r="AY67" s="176"/>
      <c r="AZ67" s="1006"/>
      <c r="BA67" s="1006"/>
      <c r="BB67" s="1006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34"/>
      <c r="BY67" s="23"/>
      <c r="BZ67" s="23"/>
      <c r="CA67" s="23"/>
      <c r="CB67" s="23"/>
    </row>
    <row r="68" spans="11:80">
      <c r="K68" s="28"/>
      <c r="L68" s="28"/>
      <c r="M68" s="28"/>
      <c r="N68" s="28"/>
      <c r="O68" s="28"/>
      <c r="P68" s="28"/>
      <c r="Q68" s="28"/>
      <c r="AD68" s="159">
        <f t="shared" si="3"/>
        <v>0</v>
      </c>
      <c r="AE68" s="872">
        <f>AJ42+AJ43</f>
        <v>1.4149999999999999E-2</v>
      </c>
      <c r="AF68" s="873"/>
      <c r="AG68" s="870">
        <f t="shared" si="4"/>
        <v>8.1695063090332053E-3</v>
      </c>
      <c r="AH68" s="871"/>
      <c r="AP68" s="174"/>
      <c r="AQ68" s="174"/>
      <c r="AR68" s="174"/>
      <c r="AS68" s="176"/>
      <c r="AT68" s="184"/>
      <c r="AU68" s="179"/>
      <c r="AV68" s="181"/>
      <c r="AW68" s="180"/>
      <c r="AX68" s="181"/>
      <c r="AY68" s="176"/>
      <c r="AZ68" s="176"/>
      <c r="BA68" s="176"/>
      <c r="BB68" s="174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34"/>
      <c r="BY68" s="23"/>
      <c r="BZ68" s="23"/>
      <c r="CA68" s="23"/>
      <c r="CB68" s="23"/>
    </row>
    <row r="69" spans="11:80">
      <c r="K69" s="28"/>
      <c r="L69" s="28"/>
      <c r="M69" s="28"/>
      <c r="N69" s="28"/>
      <c r="O69" s="28"/>
      <c r="P69" s="28"/>
      <c r="Q69" s="28"/>
      <c r="AD69" s="159">
        <f t="shared" si="3"/>
        <v>0</v>
      </c>
      <c r="AE69" s="872">
        <f>AJ42+AJ43+AJ44</f>
        <v>1.6909999999999998E-2</v>
      </c>
      <c r="AF69" s="873"/>
      <c r="AG69" s="870">
        <f t="shared" si="4"/>
        <v>9.7629930519965713E-3</v>
      </c>
      <c r="AH69" s="871"/>
      <c r="AP69" s="174"/>
      <c r="AQ69" s="174"/>
      <c r="AR69" s="174"/>
      <c r="AS69" s="176"/>
      <c r="AT69" s="176"/>
      <c r="AU69" s="176"/>
      <c r="AV69" s="176"/>
      <c r="AW69" s="176"/>
      <c r="AX69" s="176"/>
      <c r="AY69" s="176"/>
      <c r="AZ69" s="176"/>
      <c r="BA69" s="176"/>
      <c r="BB69" s="174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34"/>
      <c r="BY69" s="23"/>
      <c r="BZ69" s="23"/>
      <c r="CA69" s="23"/>
      <c r="CB69" s="23"/>
    </row>
    <row r="70" spans="11:80" ht="12.75" customHeight="1">
      <c r="K70" s="28"/>
      <c r="L70" s="28"/>
      <c r="M70" s="28"/>
      <c r="N70" s="28"/>
      <c r="O70" s="28"/>
      <c r="P70" s="28"/>
      <c r="Q70" s="28"/>
      <c r="AD70" s="159">
        <f t="shared" si="3"/>
        <v>0</v>
      </c>
      <c r="AE70" s="872">
        <f>AJ42+AJ42</f>
        <v>1.8280000000000001E-2</v>
      </c>
      <c r="AF70" s="873"/>
      <c r="AG70" s="870">
        <f t="shared" si="4"/>
        <v>1.055396292078636E-2</v>
      </c>
      <c r="AH70" s="871"/>
      <c r="AL70" s="17"/>
      <c r="AM70" s="17"/>
      <c r="AN70" s="17"/>
      <c r="AP70" s="174"/>
      <c r="AQ70" s="174"/>
      <c r="AR70" s="174"/>
      <c r="AS70" s="176"/>
      <c r="AT70" s="176"/>
      <c r="AU70" s="1025"/>
      <c r="AV70" s="1025"/>
      <c r="AW70" s="1025"/>
      <c r="AX70" s="1025"/>
      <c r="AY70" s="176"/>
      <c r="AZ70" s="176"/>
      <c r="BA70" s="176"/>
      <c r="BB70" s="174"/>
      <c r="BP70" s="1"/>
      <c r="BX70" s="17"/>
    </row>
    <row r="71" spans="11:80">
      <c r="K71" s="28"/>
      <c r="L71" s="28"/>
      <c r="M71" s="28"/>
      <c r="N71" s="28"/>
      <c r="O71" s="28"/>
      <c r="P71" s="28"/>
      <c r="Q71" s="28"/>
      <c r="AD71" s="159">
        <f t="shared" si="3"/>
        <v>0</v>
      </c>
      <c r="AE71" s="872">
        <f>AJ42+AJ42+AJ44</f>
        <v>2.104E-2</v>
      </c>
      <c r="AF71" s="873"/>
      <c r="AG71" s="870">
        <f t="shared" si="4"/>
        <v>1.2147449663749726E-2</v>
      </c>
      <c r="AH71" s="871"/>
      <c r="AL71" s="17"/>
      <c r="AM71" s="17"/>
      <c r="AN71" s="17"/>
      <c r="AP71" s="174"/>
      <c r="AQ71" s="174"/>
      <c r="AR71" s="174"/>
      <c r="AS71" s="176"/>
      <c r="AT71" s="1002"/>
      <c r="AU71" s="1025"/>
      <c r="AV71" s="1025"/>
      <c r="AW71" s="1025"/>
      <c r="AX71" s="1025"/>
      <c r="AY71" s="176"/>
      <c r="AZ71" s="176"/>
      <c r="BA71" s="176"/>
      <c r="BB71" s="174"/>
      <c r="BP71" s="1"/>
      <c r="BX71" s="17"/>
    </row>
    <row r="72" spans="11:80" ht="13.5" thickBot="1">
      <c r="K72" s="28"/>
      <c r="L72" s="28"/>
      <c r="M72" s="28"/>
      <c r="N72" s="28"/>
      <c r="O72" s="28"/>
      <c r="P72" s="28"/>
      <c r="Q72" s="28"/>
      <c r="AD72" s="160">
        <f t="shared" si="3"/>
        <v>0</v>
      </c>
      <c r="AE72" s="868">
        <f>AJ41</f>
        <v>2.0469999999999999E-2</v>
      </c>
      <c r="AF72" s="869"/>
      <c r="AG72" s="874">
        <f t="shared" si="4"/>
        <v>1.1818360010311639E-2</v>
      </c>
      <c r="AH72" s="875"/>
      <c r="AP72" s="174"/>
      <c r="AQ72" s="174"/>
      <c r="AR72" s="174"/>
      <c r="AS72" s="176"/>
      <c r="AT72" s="1002"/>
      <c r="AU72" s="177"/>
      <c r="AV72" s="178"/>
      <c r="AW72" s="178"/>
      <c r="AX72" s="178"/>
      <c r="AY72" s="176"/>
      <c r="AZ72" s="176"/>
      <c r="BA72" s="176"/>
      <c r="BB72" s="174"/>
      <c r="BP72" s="1"/>
      <c r="BX72" s="17"/>
    </row>
    <row r="73" spans="11:80" ht="13.5" customHeight="1">
      <c r="K73" s="28"/>
      <c r="L73" s="28"/>
      <c r="M73" s="28"/>
      <c r="N73" s="28"/>
      <c r="O73" s="28"/>
      <c r="P73" s="28"/>
      <c r="Q73" s="28"/>
      <c r="AE73" s="16"/>
      <c r="AF73" s="16"/>
      <c r="AP73" s="174"/>
      <c r="AQ73" s="174"/>
      <c r="AR73" s="174"/>
      <c r="AS73" s="176"/>
      <c r="AT73" s="183"/>
      <c r="AU73" s="177"/>
      <c r="AV73" s="177"/>
      <c r="AW73" s="177"/>
      <c r="AX73" s="177"/>
      <c r="AY73" s="176"/>
      <c r="AZ73" s="176"/>
      <c r="BA73" s="176"/>
      <c r="BB73" s="174"/>
      <c r="BP73" s="1"/>
    </row>
    <row r="74" spans="11:80" ht="13.5" customHeight="1" thickBot="1">
      <c r="K74" s="28"/>
      <c r="L74" s="28"/>
      <c r="M74" s="28"/>
      <c r="N74" s="28"/>
      <c r="O74" s="28"/>
      <c r="P74" s="28"/>
      <c r="Q74" s="28"/>
      <c r="AI74" s="60"/>
      <c r="AJ74" s="60"/>
      <c r="AL74" s="61"/>
      <c r="AM74" s="61"/>
      <c r="AP74" s="174"/>
      <c r="AQ74" s="174"/>
      <c r="AR74" s="174"/>
      <c r="AS74" s="176"/>
      <c r="AT74" s="191"/>
      <c r="AU74" s="179"/>
      <c r="AV74" s="179"/>
      <c r="AW74" s="180"/>
      <c r="AX74" s="181"/>
      <c r="AY74" s="174"/>
      <c r="AZ74" s="174"/>
      <c r="BA74" s="174"/>
      <c r="BB74" s="174"/>
      <c r="BN74" s="2"/>
      <c r="BO74" s="981"/>
      <c r="BP74" s="981"/>
      <c r="BQ74" s="981"/>
      <c r="BR74" s="981"/>
      <c r="BS74" s="5"/>
      <c r="BV74" s="2"/>
      <c r="BW74" s="981"/>
      <c r="BX74" s="981"/>
      <c r="BY74" s="981"/>
      <c r="BZ74" s="981"/>
      <c r="CA74" s="127"/>
    </row>
    <row r="75" spans="11:80" ht="19.5" thickBot="1">
      <c r="K75" s="28"/>
      <c r="L75" s="28"/>
      <c r="M75" s="28"/>
      <c r="N75" s="28"/>
      <c r="O75" s="28"/>
      <c r="P75" s="28"/>
      <c r="Q75" s="28"/>
      <c r="AD75" s="857" t="s">
        <v>52</v>
      </c>
      <c r="AE75" s="858"/>
      <c r="AF75" s="858"/>
      <c r="AG75" s="858"/>
      <c r="AH75" s="858"/>
      <c r="AI75" s="858"/>
      <c r="AJ75" s="858"/>
      <c r="AK75" s="858"/>
      <c r="AL75" s="858"/>
      <c r="AM75" s="858"/>
      <c r="AN75" s="858"/>
      <c r="AO75" s="859"/>
      <c r="AP75" s="174"/>
      <c r="AQ75" s="174"/>
      <c r="AR75" s="174"/>
      <c r="AS75" s="176"/>
      <c r="AT75" s="191"/>
      <c r="AU75" s="179"/>
      <c r="AV75" s="179"/>
      <c r="AW75" s="180"/>
      <c r="AX75" s="181"/>
      <c r="AY75" s="1001"/>
      <c r="AZ75" s="1001"/>
      <c r="BA75" s="1001"/>
      <c r="BB75" s="174"/>
      <c r="BN75" s="8"/>
      <c r="BO75" s="981"/>
      <c r="BP75" s="981"/>
      <c r="BQ75" s="981"/>
      <c r="BR75" s="981"/>
      <c r="BV75" s="8"/>
      <c r="BW75" s="981"/>
      <c r="BX75" s="981"/>
      <c r="BY75" s="981"/>
      <c r="BZ75" s="981"/>
      <c r="CA75" s="127"/>
    </row>
    <row r="76" spans="11:80" ht="29.25" customHeight="1" thickBot="1">
      <c r="K76" s="28"/>
      <c r="L76" s="28"/>
      <c r="M76" s="28"/>
      <c r="N76" s="28"/>
      <c r="O76" s="28"/>
      <c r="P76" s="28"/>
      <c r="Q76" s="28"/>
      <c r="AD76" s="164" t="s">
        <v>30</v>
      </c>
      <c r="AE76" s="406" t="s">
        <v>110</v>
      </c>
      <c r="AF76" s="406" t="s">
        <v>111</v>
      </c>
      <c r="AG76" s="164" t="s">
        <v>39</v>
      </c>
      <c r="AH76" s="164" t="s">
        <v>40</v>
      </c>
      <c r="AI76" s="164" t="s">
        <v>41</v>
      </c>
      <c r="AJ76" s="164" t="s">
        <v>42</v>
      </c>
      <c r="AK76" s="164" t="s">
        <v>43</v>
      </c>
      <c r="AL76" s="164" t="s">
        <v>44</v>
      </c>
      <c r="AM76" s="164" t="s">
        <v>45</v>
      </c>
      <c r="AN76" s="164" t="s">
        <v>46</v>
      </c>
      <c r="AO76" s="164" t="s">
        <v>112</v>
      </c>
      <c r="AP76" s="174"/>
      <c r="AQ76" s="174"/>
      <c r="AR76" s="174"/>
      <c r="AS76" s="176"/>
      <c r="AT76" s="191"/>
      <c r="AU76" s="179"/>
      <c r="AV76" s="179"/>
      <c r="AW76" s="180"/>
      <c r="AX76" s="181"/>
      <c r="AY76" s="1006"/>
      <c r="AZ76" s="1006"/>
      <c r="BA76" s="1006"/>
      <c r="BB76" s="174"/>
    </row>
    <row r="77" spans="11:80" ht="30" customHeight="1" thickBot="1">
      <c r="K77" s="28"/>
      <c r="L77" s="28"/>
      <c r="M77" s="28"/>
      <c r="N77" s="28"/>
      <c r="O77" s="28"/>
      <c r="P77" s="28"/>
      <c r="Q77" s="28"/>
      <c r="AD77" s="851" t="str">
        <f>S5</f>
        <v>g</v>
      </c>
      <c r="AE77" s="407"/>
      <c r="AF77" s="407"/>
      <c r="AG77" s="408"/>
      <c r="AH77" s="407"/>
      <c r="AI77" s="407"/>
      <c r="AJ77" s="407"/>
      <c r="AK77" s="407"/>
      <c r="AL77" s="407"/>
      <c r="AM77" s="407"/>
      <c r="AN77" s="407"/>
      <c r="AO77" s="407"/>
      <c r="AP77" s="174"/>
      <c r="AQ77" s="174"/>
      <c r="AR77" s="174"/>
      <c r="AS77" s="176"/>
      <c r="AT77" s="191"/>
      <c r="AU77" s="179"/>
      <c r="AV77" s="179"/>
      <c r="AW77" s="180"/>
      <c r="AX77" s="181"/>
      <c r="AY77" s="1006"/>
      <c r="AZ77" s="1006"/>
      <c r="BA77" s="1006"/>
      <c r="BB77" s="174"/>
      <c r="BM77" s="23"/>
      <c r="BN77" s="24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5"/>
    </row>
    <row r="78" spans="11:80">
      <c r="K78" s="28"/>
      <c r="L78" s="28"/>
      <c r="M78" s="28"/>
      <c r="N78" s="28"/>
      <c r="O78" s="28"/>
      <c r="P78" s="28"/>
      <c r="Q78" s="28"/>
      <c r="AD78" s="852"/>
      <c r="AE78" s="554" t="s">
        <v>73</v>
      </c>
      <c r="AF78" s="554" t="str">
        <f t="shared" ref="AF78:AL78" si="5">AE78</f>
        <v>g</v>
      </c>
      <c r="AG78" s="554" t="str">
        <f t="shared" si="5"/>
        <v>g</v>
      </c>
      <c r="AH78" s="605" t="str">
        <f t="shared" si="5"/>
        <v>g</v>
      </c>
      <c r="AI78" s="554" t="str">
        <f>AH78</f>
        <v>g</v>
      </c>
      <c r="AJ78" s="554" t="str">
        <f>AI78</f>
        <v>g</v>
      </c>
      <c r="AK78" s="554" t="str">
        <f t="shared" si="5"/>
        <v>g</v>
      </c>
      <c r="AL78" s="554" t="str">
        <f t="shared" si="5"/>
        <v>g</v>
      </c>
      <c r="AM78" s="554" t="str">
        <f>AL78</f>
        <v>g</v>
      </c>
      <c r="AN78" s="554" t="str">
        <f>AL78</f>
        <v>g</v>
      </c>
      <c r="AO78" s="554" t="str">
        <f>AN78</f>
        <v>g</v>
      </c>
      <c r="AP78" s="174"/>
      <c r="AQ78" s="174"/>
      <c r="AR78" s="174"/>
      <c r="AS78" s="176"/>
      <c r="AT78" s="191"/>
      <c r="AU78" s="179"/>
      <c r="AV78" s="179"/>
      <c r="AW78" s="180"/>
      <c r="AX78" s="181"/>
      <c r="AY78" s="1006"/>
      <c r="AZ78" s="1006"/>
      <c r="BA78" s="1006"/>
      <c r="BB78" s="174"/>
      <c r="BP78" s="1"/>
      <c r="CB78" s="2"/>
    </row>
    <row r="79" spans="11:80">
      <c r="K79" s="28"/>
      <c r="L79" s="28"/>
      <c r="M79" s="28"/>
      <c r="N79" s="28"/>
      <c r="O79" s="28"/>
      <c r="P79" s="28"/>
      <c r="Q79" s="28"/>
      <c r="AD79" s="609" t="e">
        <f t="shared" ref="AD79:AD89" si="6">O37</f>
        <v>#N/A</v>
      </c>
      <c r="AE79" s="166">
        <f t="shared" ref="AE79:AE89" si="7">(R$5/(2*SQRT(3)))</f>
        <v>0</v>
      </c>
      <c r="AF79" s="166">
        <f t="shared" ref="AF79:AF89" si="8">(R$5/(2*SQRT(3)))</f>
        <v>0</v>
      </c>
      <c r="AG79" s="192">
        <f>W33/SQRT(5)</f>
        <v>0</v>
      </c>
      <c r="AH79" s="610" t="e">
        <f>(P32*Q37)</f>
        <v>#DIV/0!</v>
      </c>
      <c r="AI79" s="166" t="e">
        <f>AF8</f>
        <v>#N/A</v>
      </c>
      <c r="AJ79" s="198" t="e">
        <f t="shared" ref="AJ79:AJ89" si="9">AH8</f>
        <v>#N/A</v>
      </c>
      <c r="AK79" s="166" t="e">
        <f t="shared" ref="AK79:AK89" si="10">AI8</f>
        <v>#N/A</v>
      </c>
      <c r="AL79" s="166">
        <f t="shared" ref="AL79:AL89" si="11">AG62</f>
        <v>2.8925248486400251E-3</v>
      </c>
      <c r="AM79" s="167" t="e">
        <f t="shared" ref="AM79:AM89" si="12">Q37-(AD8+AE8)</f>
        <v>#N/A</v>
      </c>
      <c r="AN79" s="167" t="e">
        <f t="shared" ref="AN79:AN89" si="13">SQRT(SUM(AE79^2+AF79^2+AG79^2+AH79^2+AI79^2+AJ79^2+AK79^2+AL79^2))</f>
        <v>#DIV/0!</v>
      </c>
      <c r="AO79" s="167" t="e">
        <f>AN79*2</f>
        <v>#DIV/0!</v>
      </c>
      <c r="AP79" s="174"/>
      <c r="AQ79" s="174"/>
      <c r="AR79" s="174"/>
      <c r="AS79" s="176"/>
      <c r="AT79" s="191"/>
      <c r="AU79" s="179"/>
      <c r="AV79" s="179"/>
      <c r="AW79" s="180"/>
      <c r="AX79" s="181"/>
      <c r="AY79" s="174"/>
      <c r="AZ79" s="174"/>
      <c r="BA79" s="174"/>
      <c r="BB79" s="174"/>
      <c r="BP79" s="1"/>
      <c r="CB79" s="2"/>
    </row>
    <row r="80" spans="11:80">
      <c r="K80" s="28"/>
      <c r="L80" s="28"/>
      <c r="M80" s="28"/>
      <c r="N80" s="28"/>
      <c r="O80" s="28"/>
      <c r="P80" s="28"/>
      <c r="Q80" s="28"/>
      <c r="AD80" s="609" t="e">
        <f t="shared" si="6"/>
        <v>#N/A</v>
      </c>
      <c r="AE80" s="166">
        <f t="shared" si="7"/>
        <v>0</v>
      </c>
      <c r="AF80" s="166">
        <f t="shared" si="8"/>
        <v>0</v>
      </c>
      <c r="AG80" s="192">
        <f t="shared" ref="AG80:AG88" si="14">W31/SQRT(5)</f>
        <v>0</v>
      </c>
      <c r="AH80" s="610" t="e">
        <f>(P32*Q38)</f>
        <v>#DIV/0!</v>
      </c>
      <c r="AI80" s="166" t="e">
        <f>AF9</f>
        <v>#N/A</v>
      </c>
      <c r="AJ80" s="198" t="e">
        <f t="shared" si="9"/>
        <v>#N/A</v>
      </c>
      <c r="AK80" s="166" t="e">
        <f t="shared" si="10"/>
        <v>#N/A</v>
      </c>
      <c r="AL80" s="166">
        <f t="shared" si="11"/>
        <v>1.5934867429633671E-3</v>
      </c>
      <c r="AM80" s="167" t="e">
        <f t="shared" si="12"/>
        <v>#N/A</v>
      </c>
      <c r="AN80" s="167" t="e">
        <f t="shared" si="13"/>
        <v>#DIV/0!</v>
      </c>
      <c r="AO80" s="167" t="e">
        <f>AN80*2</f>
        <v>#DIV/0!</v>
      </c>
      <c r="AP80" s="174"/>
      <c r="AQ80" s="174"/>
      <c r="AR80" s="174"/>
      <c r="AS80" s="176"/>
      <c r="AT80" s="191"/>
      <c r="AU80" s="179"/>
      <c r="AV80" s="179"/>
      <c r="AW80" s="180"/>
      <c r="AX80" s="180"/>
      <c r="AY80" s="174"/>
      <c r="AZ80" s="174"/>
      <c r="BA80" s="174"/>
      <c r="BB80" s="174"/>
      <c r="BP80" s="1"/>
      <c r="CB80" s="2"/>
    </row>
    <row r="81" spans="11:54">
      <c r="K81" s="28"/>
      <c r="L81" s="28"/>
      <c r="M81" s="28"/>
      <c r="N81" s="28"/>
      <c r="O81" s="28"/>
      <c r="P81" s="28"/>
      <c r="Q81" s="28"/>
      <c r="AD81" s="609" t="e">
        <f t="shared" si="6"/>
        <v>#N/A</v>
      </c>
      <c r="AE81" s="166">
        <f t="shared" si="7"/>
        <v>0</v>
      </c>
      <c r="AF81" s="166">
        <f t="shared" si="8"/>
        <v>0</v>
      </c>
      <c r="AG81" s="192">
        <f t="shared" si="14"/>
        <v>0</v>
      </c>
      <c r="AH81" s="610" t="e">
        <f>P32*Q39</f>
        <v>#DIV/0!</v>
      </c>
      <c r="AI81" s="166" t="e">
        <f>AF10</f>
        <v>#N/A</v>
      </c>
      <c r="AJ81" s="198" t="e">
        <f t="shared" si="9"/>
        <v>#N/A</v>
      </c>
      <c r="AK81" s="166" t="e">
        <f t="shared" si="10"/>
        <v>#N/A</v>
      </c>
      <c r="AL81" s="166">
        <f t="shared" si="11"/>
        <v>2.8925248486400251E-3</v>
      </c>
      <c r="AM81" s="167" t="e">
        <f t="shared" si="12"/>
        <v>#N/A</v>
      </c>
      <c r="AN81" s="167" t="e">
        <f t="shared" si="13"/>
        <v>#DIV/0!</v>
      </c>
      <c r="AO81" s="167" t="e">
        <f t="shared" ref="AO81:AO89" si="15">AN81*2</f>
        <v>#DIV/0!</v>
      </c>
      <c r="AP81" s="174"/>
      <c r="AQ81" s="174"/>
      <c r="AR81" s="174"/>
      <c r="AS81" s="176"/>
      <c r="AT81" s="176"/>
      <c r="AU81" s="176"/>
      <c r="AV81" s="176"/>
      <c r="AW81" s="176"/>
      <c r="AX81" s="176"/>
      <c r="AY81" s="176"/>
      <c r="AZ81" s="176"/>
      <c r="BA81" s="176"/>
      <c r="BB81" s="174"/>
    </row>
    <row r="82" spans="11:54">
      <c r="K82" s="28"/>
      <c r="L82" s="28"/>
      <c r="M82" s="28"/>
      <c r="N82" s="28"/>
      <c r="O82" s="28"/>
      <c r="P82" s="28"/>
      <c r="Q82" s="28"/>
      <c r="AD82" s="609" t="e">
        <f t="shared" si="6"/>
        <v>#N/A</v>
      </c>
      <c r="AE82" s="166">
        <f t="shared" si="7"/>
        <v>0</v>
      </c>
      <c r="AF82" s="166">
        <f t="shared" si="8"/>
        <v>0</v>
      </c>
      <c r="AG82" s="192">
        <f t="shared" si="14"/>
        <v>0</v>
      </c>
      <c r="AH82" s="610" t="e">
        <f>$P$32*Q40</f>
        <v>#DIV/0!</v>
      </c>
      <c r="AI82" s="166" t="e">
        <f t="shared" ref="AI82:AI89" si="16">AF11</f>
        <v>#N/A</v>
      </c>
      <c r="AJ82" s="166" t="e">
        <f t="shared" si="9"/>
        <v>#N/A</v>
      </c>
      <c r="AK82" s="166" t="e">
        <f t="shared" si="10"/>
        <v>#N/A</v>
      </c>
      <c r="AL82" s="166">
        <f t="shared" si="11"/>
        <v>4.486011591603392E-3</v>
      </c>
      <c r="AM82" s="167" t="e">
        <f t="shared" si="12"/>
        <v>#N/A</v>
      </c>
      <c r="AN82" s="167" t="e">
        <f t="shared" si="13"/>
        <v>#DIV/0!</v>
      </c>
      <c r="AO82" s="167" t="e">
        <f t="shared" si="15"/>
        <v>#DIV/0!</v>
      </c>
      <c r="AP82" s="174"/>
      <c r="AQ82" s="174"/>
      <c r="AR82" s="174"/>
      <c r="AS82" s="176"/>
      <c r="AT82" s="176"/>
      <c r="AU82" s="176"/>
      <c r="AV82" s="176"/>
      <c r="AW82" s="176"/>
      <c r="AX82" s="176"/>
      <c r="AY82" s="176"/>
      <c r="AZ82" s="176"/>
      <c r="BA82" s="176"/>
      <c r="BB82" s="176"/>
    </row>
    <row r="83" spans="11:54">
      <c r="K83" s="28"/>
      <c r="L83" s="28"/>
      <c r="M83" s="28"/>
      <c r="N83" s="28"/>
      <c r="O83" s="28"/>
      <c r="P83" s="28"/>
      <c r="Q83" s="28"/>
      <c r="AD83" s="609" t="e">
        <f t="shared" si="6"/>
        <v>#N/A</v>
      </c>
      <c r="AE83" s="166">
        <f t="shared" si="7"/>
        <v>0</v>
      </c>
      <c r="AF83" s="166">
        <f t="shared" si="8"/>
        <v>0</v>
      </c>
      <c r="AG83" s="192">
        <f t="shared" si="14"/>
        <v>0</v>
      </c>
      <c r="AH83" s="610" t="e">
        <f t="shared" ref="AH83:AH89" si="17">$P$32*Q41</f>
        <v>#DIV/0!</v>
      </c>
      <c r="AI83" s="166" t="e">
        <f t="shared" si="16"/>
        <v>#N/A</v>
      </c>
      <c r="AJ83" s="166" t="e">
        <f t="shared" si="9"/>
        <v>#N/A</v>
      </c>
      <c r="AK83" s="166" t="e">
        <f t="shared" si="10"/>
        <v>#N/A</v>
      </c>
      <c r="AL83" s="166">
        <f t="shared" si="11"/>
        <v>5.2769814603931802E-3</v>
      </c>
      <c r="AM83" s="167" t="e">
        <f t="shared" si="12"/>
        <v>#N/A</v>
      </c>
      <c r="AN83" s="167" t="e">
        <f t="shared" si="13"/>
        <v>#DIV/0!</v>
      </c>
      <c r="AO83" s="167" t="e">
        <f>AN83*2</f>
        <v>#DIV/0!</v>
      </c>
      <c r="AP83" s="174"/>
      <c r="AQ83" s="174"/>
      <c r="AR83" s="174"/>
      <c r="AS83" s="176"/>
      <c r="AT83" s="184"/>
      <c r="AU83" s="176"/>
      <c r="AV83" s="176"/>
      <c r="AW83" s="176"/>
      <c r="AX83" s="176"/>
      <c r="AY83" s="176"/>
      <c r="AZ83" s="176"/>
      <c r="BA83" s="176"/>
      <c r="BB83" s="176"/>
    </row>
    <row r="84" spans="11:54" ht="13.5" thickBot="1">
      <c r="K84" s="28"/>
      <c r="L84" s="28"/>
      <c r="M84" s="28"/>
      <c r="N84" s="28"/>
      <c r="O84" s="28"/>
      <c r="P84" s="28"/>
      <c r="Q84" s="28"/>
      <c r="AD84" s="606">
        <f t="shared" si="6"/>
        <v>0</v>
      </c>
      <c r="AE84" s="298">
        <f t="shared" si="7"/>
        <v>0</v>
      </c>
      <c r="AF84" s="298">
        <f t="shared" si="8"/>
        <v>0</v>
      </c>
      <c r="AG84" s="165">
        <f t="shared" si="14"/>
        <v>0</v>
      </c>
      <c r="AH84" s="242" t="e">
        <f t="shared" si="17"/>
        <v>#DIV/0!</v>
      </c>
      <c r="AI84" s="298" t="e">
        <f t="shared" si="16"/>
        <v>#N/A</v>
      </c>
      <c r="AJ84" s="298" t="e">
        <f t="shared" si="9"/>
        <v>#N/A</v>
      </c>
      <c r="AK84" s="298" t="e">
        <f t="shared" si="10"/>
        <v>#N/A</v>
      </c>
      <c r="AL84" s="298">
        <f t="shared" si="11"/>
        <v>6.8704682033565471E-3</v>
      </c>
      <c r="AM84" s="607" t="e">
        <f t="shared" si="12"/>
        <v>#N/A</v>
      </c>
      <c r="AN84" s="607" t="e">
        <f t="shared" si="13"/>
        <v>#DIV/0!</v>
      </c>
      <c r="AO84" s="608" t="e">
        <f t="shared" si="15"/>
        <v>#DIV/0!</v>
      </c>
      <c r="AP84" s="174"/>
      <c r="AQ84" s="174"/>
      <c r="AR84" s="174"/>
      <c r="AS84" s="176"/>
      <c r="AT84" s="184"/>
      <c r="AU84" s="176"/>
      <c r="AV84" s="176"/>
      <c r="AW84" s="176"/>
      <c r="AX84" s="176"/>
      <c r="AY84" s="176"/>
      <c r="AZ84" s="176"/>
      <c r="BA84" s="176"/>
      <c r="BB84" s="176"/>
    </row>
    <row r="85" spans="11:54" ht="13.5" thickBot="1">
      <c r="K85" s="28"/>
      <c r="L85" s="28"/>
      <c r="M85" s="28"/>
      <c r="N85" s="28"/>
      <c r="O85" s="28"/>
      <c r="P85" s="28"/>
      <c r="Q85" s="28"/>
      <c r="AD85" s="570">
        <f t="shared" si="6"/>
        <v>0</v>
      </c>
      <c r="AE85" s="571">
        <f t="shared" si="7"/>
        <v>0</v>
      </c>
      <c r="AF85" s="571">
        <f t="shared" si="8"/>
        <v>0</v>
      </c>
      <c r="AG85" s="572">
        <f t="shared" si="14"/>
        <v>0</v>
      </c>
      <c r="AH85" s="573" t="e">
        <f t="shared" si="17"/>
        <v>#DIV/0!</v>
      </c>
      <c r="AI85" s="571" t="e">
        <f t="shared" si="16"/>
        <v>#N/A</v>
      </c>
      <c r="AJ85" s="571" t="e">
        <f t="shared" si="9"/>
        <v>#N/A</v>
      </c>
      <c r="AK85" s="571" t="e">
        <f t="shared" si="10"/>
        <v>#N/A</v>
      </c>
      <c r="AL85" s="571">
        <f t="shared" si="11"/>
        <v>8.1695063090332053E-3</v>
      </c>
      <c r="AM85" s="574" t="e">
        <f t="shared" si="12"/>
        <v>#N/A</v>
      </c>
      <c r="AN85" s="575" t="e">
        <f t="shared" si="13"/>
        <v>#DIV/0!</v>
      </c>
      <c r="AO85" s="576" t="e">
        <f t="shared" si="15"/>
        <v>#DIV/0!</v>
      </c>
      <c r="AP85" s="174"/>
      <c r="AQ85" s="174"/>
      <c r="AR85" s="174"/>
      <c r="AS85" s="176"/>
      <c r="AT85" s="176"/>
      <c r="AU85" s="176"/>
      <c r="AV85" s="176"/>
      <c r="AW85" s="176"/>
      <c r="AX85" s="176"/>
      <c r="AY85" s="176"/>
      <c r="AZ85" s="176"/>
      <c r="BA85" s="176"/>
      <c r="BB85" s="176"/>
    </row>
    <row r="86" spans="11:54" ht="13.5" thickBot="1">
      <c r="K86" s="28"/>
      <c r="L86" s="28"/>
      <c r="M86" s="28"/>
      <c r="N86" s="28"/>
      <c r="O86" s="28"/>
      <c r="P86" s="28"/>
      <c r="Q86" s="28"/>
      <c r="AD86" s="570">
        <f t="shared" si="6"/>
        <v>0</v>
      </c>
      <c r="AE86" s="571">
        <f t="shared" si="7"/>
        <v>0</v>
      </c>
      <c r="AF86" s="571">
        <f t="shared" si="8"/>
        <v>0</v>
      </c>
      <c r="AG86" s="572">
        <f t="shared" si="14"/>
        <v>0</v>
      </c>
      <c r="AH86" s="573" t="e">
        <f t="shared" si="17"/>
        <v>#DIV/0!</v>
      </c>
      <c r="AI86" s="571" t="e">
        <f t="shared" si="16"/>
        <v>#N/A</v>
      </c>
      <c r="AJ86" s="571" t="e">
        <f t="shared" si="9"/>
        <v>#N/A</v>
      </c>
      <c r="AK86" s="571" t="e">
        <f t="shared" si="10"/>
        <v>#N/A</v>
      </c>
      <c r="AL86" s="571">
        <f t="shared" si="11"/>
        <v>9.7629930519965713E-3</v>
      </c>
      <c r="AM86" s="574" t="e">
        <f t="shared" si="12"/>
        <v>#N/A</v>
      </c>
      <c r="AN86" s="575" t="e">
        <f t="shared" si="13"/>
        <v>#DIV/0!</v>
      </c>
      <c r="AO86" s="576" t="e">
        <f t="shared" si="15"/>
        <v>#DIV/0!</v>
      </c>
      <c r="AP86" s="174"/>
      <c r="AQ86" s="174"/>
      <c r="AR86" s="174"/>
    </row>
    <row r="87" spans="11:54" ht="13.5" thickBot="1">
      <c r="K87" s="28"/>
      <c r="L87" s="28"/>
      <c r="M87" s="28"/>
      <c r="N87" s="28"/>
      <c r="O87" s="28"/>
      <c r="P87" s="28"/>
      <c r="Q87" s="28"/>
      <c r="AD87" s="570">
        <f t="shared" si="6"/>
        <v>0</v>
      </c>
      <c r="AE87" s="571">
        <f t="shared" si="7"/>
        <v>0</v>
      </c>
      <c r="AF87" s="571">
        <f t="shared" si="8"/>
        <v>0</v>
      </c>
      <c r="AG87" s="572">
        <f t="shared" si="14"/>
        <v>0</v>
      </c>
      <c r="AH87" s="573" t="e">
        <f t="shared" si="17"/>
        <v>#DIV/0!</v>
      </c>
      <c r="AI87" s="571" t="e">
        <f t="shared" si="16"/>
        <v>#N/A</v>
      </c>
      <c r="AJ87" s="575" t="e">
        <f t="shared" si="9"/>
        <v>#N/A</v>
      </c>
      <c r="AK87" s="571" t="e">
        <f t="shared" si="10"/>
        <v>#N/A</v>
      </c>
      <c r="AL87" s="571">
        <f t="shared" si="11"/>
        <v>1.055396292078636E-2</v>
      </c>
      <c r="AM87" s="574" t="e">
        <f t="shared" si="12"/>
        <v>#N/A</v>
      </c>
      <c r="AN87" s="575" t="e">
        <f t="shared" si="13"/>
        <v>#DIV/0!</v>
      </c>
      <c r="AO87" s="576" t="e">
        <f t="shared" si="15"/>
        <v>#DIV/0!</v>
      </c>
    </row>
    <row r="88" spans="11:54" ht="13.5" thickBot="1">
      <c r="K88" s="28"/>
      <c r="L88" s="28"/>
      <c r="M88" s="28"/>
      <c r="N88" s="28"/>
      <c r="O88" s="28"/>
      <c r="P88" s="28"/>
      <c r="Q88" s="28"/>
      <c r="AD88" s="570">
        <f t="shared" si="6"/>
        <v>0</v>
      </c>
      <c r="AE88" s="571">
        <f t="shared" si="7"/>
        <v>0</v>
      </c>
      <c r="AF88" s="571">
        <f t="shared" si="8"/>
        <v>0</v>
      </c>
      <c r="AG88" s="572">
        <f t="shared" si="14"/>
        <v>0</v>
      </c>
      <c r="AH88" s="573" t="e">
        <f t="shared" si="17"/>
        <v>#DIV/0!</v>
      </c>
      <c r="AI88" s="571" t="e">
        <f t="shared" si="16"/>
        <v>#N/A</v>
      </c>
      <c r="AJ88" s="575" t="e">
        <f t="shared" si="9"/>
        <v>#N/A</v>
      </c>
      <c r="AK88" s="571" t="e">
        <f t="shared" si="10"/>
        <v>#N/A</v>
      </c>
      <c r="AL88" s="571">
        <f t="shared" si="11"/>
        <v>1.2147449663749726E-2</v>
      </c>
      <c r="AM88" s="574" t="e">
        <f t="shared" si="12"/>
        <v>#N/A</v>
      </c>
      <c r="AN88" s="575" t="e">
        <f t="shared" si="13"/>
        <v>#DIV/0!</v>
      </c>
      <c r="AO88" s="576" t="e">
        <f t="shared" si="15"/>
        <v>#DIV/0!</v>
      </c>
    </row>
    <row r="89" spans="11:54" ht="13.5" thickBot="1">
      <c r="K89" s="28"/>
      <c r="L89" s="28"/>
      <c r="M89" s="28"/>
      <c r="N89" s="28"/>
      <c r="O89" s="28"/>
      <c r="P89" s="28"/>
      <c r="Q89" s="28"/>
      <c r="AD89" s="577">
        <f t="shared" si="6"/>
        <v>0</v>
      </c>
      <c r="AE89" s="578">
        <f t="shared" si="7"/>
        <v>0</v>
      </c>
      <c r="AF89" s="578">
        <f t="shared" si="8"/>
        <v>0</v>
      </c>
      <c r="AG89" s="579">
        <f>'HOJA DE CALCULO'!E119/SQRT(5)</f>
        <v>0</v>
      </c>
      <c r="AH89" s="580" t="e">
        <f t="shared" si="17"/>
        <v>#DIV/0!</v>
      </c>
      <c r="AI89" s="578" t="e">
        <f t="shared" si="16"/>
        <v>#N/A</v>
      </c>
      <c r="AJ89" s="581" t="e">
        <f t="shared" si="9"/>
        <v>#N/A</v>
      </c>
      <c r="AK89" s="578" t="e">
        <f t="shared" si="10"/>
        <v>#N/A</v>
      </c>
      <c r="AL89" s="578">
        <f t="shared" si="11"/>
        <v>1.1818360010311639E-2</v>
      </c>
      <c r="AM89" s="574" t="e">
        <f t="shared" si="12"/>
        <v>#N/A</v>
      </c>
      <c r="AN89" s="581" t="e">
        <f t="shared" si="13"/>
        <v>#DIV/0!</v>
      </c>
      <c r="AO89" s="582" t="e">
        <f t="shared" si="15"/>
        <v>#DIV/0!</v>
      </c>
      <c r="BB89" s="79"/>
    </row>
    <row r="90" spans="11:54">
      <c r="K90" s="28"/>
      <c r="L90" s="28"/>
      <c r="M90" s="28"/>
      <c r="N90" s="28"/>
      <c r="O90" s="28"/>
      <c r="P90" s="28"/>
      <c r="Q90" s="28"/>
      <c r="BB90" s="79"/>
    </row>
    <row r="91" spans="11:54">
      <c r="K91" s="28"/>
      <c r="L91" s="28"/>
      <c r="M91" s="28"/>
      <c r="N91" s="28"/>
      <c r="O91" s="28"/>
      <c r="P91" s="28"/>
      <c r="Q91" s="28"/>
      <c r="BB91" s="79"/>
    </row>
    <row r="92" spans="11:54">
      <c r="K92" s="28"/>
      <c r="L92" s="28"/>
      <c r="M92" s="28"/>
      <c r="N92" s="28"/>
      <c r="O92" s="28"/>
      <c r="P92" s="28"/>
      <c r="Q92" s="28"/>
      <c r="AT92" s="75"/>
      <c r="AU92" s="70"/>
      <c r="AV92" s="76"/>
      <c r="AW92" s="70"/>
      <c r="AX92" s="70"/>
      <c r="AZ92" s="79"/>
      <c r="BA92" s="79"/>
      <c r="BB92" s="79"/>
    </row>
    <row r="93" spans="11:54">
      <c r="K93" s="28"/>
      <c r="L93" s="28"/>
      <c r="M93" s="28"/>
      <c r="N93" s="28"/>
      <c r="O93" s="28"/>
      <c r="P93" s="28"/>
      <c r="Q93" s="28"/>
      <c r="AT93" s="75"/>
      <c r="AU93" s="70"/>
      <c r="AV93" s="76"/>
      <c r="AW93" s="70"/>
      <c r="AX93" s="70"/>
      <c r="AZ93" s="79"/>
      <c r="BA93" s="79"/>
      <c r="BB93" s="79"/>
    </row>
    <row r="94" spans="11:54">
      <c r="K94" s="28"/>
      <c r="L94" s="28"/>
      <c r="M94" s="28"/>
      <c r="N94" s="28"/>
      <c r="O94" s="28"/>
      <c r="P94" s="28"/>
      <c r="Q94" s="28"/>
      <c r="AT94" s="75"/>
      <c r="AU94" s="70"/>
      <c r="AV94" s="76"/>
      <c r="AW94" s="70"/>
      <c r="AX94" s="70"/>
      <c r="AZ94" s="79"/>
      <c r="BA94" s="79"/>
      <c r="BB94" s="79"/>
    </row>
    <row r="95" spans="11:54">
      <c r="K95" s="28"/>
      <c r="L95" s="28"/>
      <c r="M95" s="28"/>
      <c r="N95" s="28"/>
      <c r="O95" s="28"/>
      <c r="P95" s="28"/>
      <c r="Q95" s="28"/>
      <c r="AT95" s="75"/>
      <c r="AU95" s="70"/>
      <c r="AV95" s="76"/>
      <c r="AW95" s="70"/>
      <c r="AX95" s="70"/>
      <c r="AZ95" s="79"/>
      <c r="BA95" s="79"/>
      <c r="BB95" s="79"/>
    </row>
    <row r="96" spans="11:54">
      <c r="K96" s="28"/>
      <c r="L96" s="28"/>
      <c r="M96" s="28"/>
      <c r="N96" s="28"/>
      <c r="O96" s="28"/>
      <c r="P96" s="28"/>
      <c r="Q96" s="28"/>
      <c r="AT96" s="75"/>
      <c r="AU96" s="70"/>
      <c r="AV96" s="76"/>
      <c r="AW96" s="70"/>
      <c r="AX96" s="70"/>
      <c r="AZ96" s="79"/>
      <c r="BA96" s="79"/>
      <c r="BB96" s="79"/>
    </row>
    <row r="97" spans="11:54">
      <c r="K97" s="28"/>
      <c r="L97" s="28"/>
      <c r="M97" s="28"/>
      <c r="N97" s="28"/>
      <c r="O97" s="28"/>
      <c r="P97" s="28"/>
      <c r="Q97" s="28"/>
      <c r="AT97" s="75"/>
      <c r="AU97" s="70"/>
      <c r="AV97" s="76"/>
      <c r="AW97" s="70"/>
      <c r="AX97" s="70"/>
      <c r="AZ97" s="79"/>
      <c r="BA97" s="79"/>
      <c r="BB97" s="79"/>
    </row>
    <row r="98" spans="11:54">
      <c r="K98" s="28"/>
      <c r="L98" s="28"/>
      <c r="M98" s="28"/>
      <c r="N98" s="28"/>
      <c r="O98" s="28"/>
      <c r="P98" s="28"/>
      <c r="Q98" s="28"/>
      <c r="AT98" s="75"/>
      <c r="AU98" s="70"/>
      <c r="AV98" s="76"/>
      <c r="AW98" s="70"/>
      <c r="AX98" s="70"/>
      <c r="AZ98" s="79"/>
      <c r="BA98" s="79"/>
      <c r="BB98" s="79"/>
    </row>
    <row r="99" spans="11:54">
      <c r="K99" s="28"/>
      <c r="L99" s="28"/>
      <c r="M99" s="28"/>
      <c r="N99" s="28"/>
      <c r="O99" s="28"/>
      <c r="P99" s="28"/>
      <c r="Q99" s="28"/>
      <c r="AT99" s="75"/>
      <c r="AU99" s="70"/>
      <c r="AV99" s="76"/>
      <c r="AW99" s="70"/>
      <c r="AX99" s="70"/>
      <c r="AZ99" s="79"/>
      <c r="BA99" s="79"/>
      <c r="BB99" s="79"/>
    </row>
    <row r="100" spans="11:54">
      <c r="K100" s="28"/>
      <c r="L100" s="28"/>
      <c r="M100" s="28"/>
      <c r="N100" s="28"/>
      <c r="O100" s="28"/>
      <c r="P100" s="28"/>
      <c r="Q100" s="28"/>
      <c r="AT100" s="75"/>
      <c r="AU100" s="70"/>
      <c r="AV100" s="76"/>
      <c r="AW100" s="70"/>
      <c r="AX100" s="70"/>
      <c r="AZ100" s="79"/>
      <c r="BA100" s="79"/>
      <c r="BB100" s="79"/>
    </row>
    <row r="101" spans="11:54">
      <c r="K101" s="28"/>
      <c r="L101" s="28"/>
      <c r="M101" s="28"/>
      <c r="N101" s="28"/>
      <c r="O101" s="28"/>
      <c r="P101" s="28"/>
      <c r="Q101" s="28"/>
      <c r="AT101" s="75"/>
      <c r="AU101" s="70"/>
      <c r="AV101" s="76"/>
      <c r="AW101" s="70"/>
      <c r="AX101" s="70"/>
      <c r="AZ101" s="79"/>
      <c r="BA101" s="79"/>
      <c r="BB101" s="79"/>
    </row>
    <row r="102" spans="11:54">
      <c r="K102" s="28"/>
      <c r="L102" s="28"/>
      <c r="M102" s="28"/>
      <c r="N102" s="28"/>
      <c r="O102" s="28"/>
      <c r="P102" s="28"/>
      <c r="Q102" s="28"/>
      <c r="AT102" s="75"/>
      <c r="AU102" s="70"/>
      <c r="AV102" s="76"/>
      <c r="AW102" s="70"/>
      <c r="AX102" s="70"/>
      <c r="AZ102" s="79"/>
      <c r="BA102" s="79"/>
      <c r="BB102" s="79"/>
    </row>
    <row r="103" spans="11:54">
      <c r="K103" s="28"/>
      <c r="L103" s="28"/>
      <c r="M103" s="28"/>
      <c r="N103" s="28"/>
      <c r="O103" s="28"/>
      <c r="P103" s="28"/>
      <c r="Q103" s="28"/>
      <c r="AT103" s="75"/>
      <c r="AU103" s="70"/>
      <c r="AV103" s="76"/>
      <c r="AW103" s="70"/>
      <c r="AX103" s="70"/>
      <c r="AZ103" s="79"/>
      <c r="BA103" s="79"/>
      <c r="BB103" s="79"/>
    </row>
    <row r="104" spans="11:54">
      <c r="K104" s="28"/>
      <c r="L104" s="28"/>
      <c r="M104" s="28"/>
      <c r="N104" s="28"/>
      <c r="O104" s="28"/>
      <c r="P104" s="28"/>
      <c r="Q104" s="28"/>
      <c r="AT104" s="75"/>
      <c r="AU104" s="70"/>
      <c r="AV104" s="76"/>
      <c r="AW104" s="70"/>
      <c r="AX104" s="70"/>
      <c r="AZ104" s="79"/>
      <c r="BA104" s="79"/>
      <c r="BB104" s="79"/>
    </row>
    <row r="105" spans="11:54">
      <c r="K105" s="28"/>
      <c r="L105" s="28"/>
      <c r="M105" s="28"/>
      <c r="N105" s="28"/>
      <c r="O105" s="28"/>
      <c r="P105" s="28"/>
      <c r="Q105" s="28"/>
      <c r="AT105" s="75"/>
      <c r="AU105" s="70"/>
      <c r="AV105" s="76"/>
      <c r="AW105" s="70"/>
      <c r="AX105" s="70"/>
      <c r="AZ105" s="79"/>
      <c r="BA105" s="79"/>
      <c r="BB105" s="79"/>
    </row>
    <row r="106" spans="11:54">
      <c r="K106" s="28"/>
      <c r="L106" s="28"/>
      <c r="M106" s="28"/>
      <c r="N106" s="28"/>
      <c r="O106" s="28"/>
      <c r="P106" s="28"/>
      <c r="Q106" s="28"/>
      <c r="AT106" s="75"/>
      <c r="AU106" s="70"/>
      <c r="AV106" s="76"/>
      <c r="AW106" s="70"/>
      <c r="AX106" s="70"/>
      <c r="AZ106" s="79"/>
      <c r="BA106" s="79"/>
      <c r="BB106" s="79"/>
    </row>
    <row r="107" spans="11:54">
      <c r="K107" s="28"/>
      <c r="L107" s="28"/>
      <c r="M107" s="28"/>
      <c r="N107" s="28"/>
      <c r="O107" s="28"/>
      <c r="P107" s="28"/>
      <c r="Q107" s="28"/>
      <c r="AT107" s="75"/>
      <c r="AU107" s="70"/>
      <c r="AV107" s="76"/>
      <c r="AW107" s="70"/>
      <c r="AX107" s="70"/>
      <c r="AZ107" s="79"/>
      <c r="BA107" s="79"/>
      <c r="BB107" s="79"/>
    </row>
    <row r="108" spans="11:54">
      <c r="K108" s="28"/>
      <c r="L108" s="28"/>
      <c r="M108" s="28"/>
      <c r="N108" s="28"/>
      <c r="O108" s="28"/>
      <c r="P108" s="28"/>
      <c r="Q108" s="28"/>
      <c r="AT108" s="75"/>
      <c r="AU108" s="70"/>
      <c r="AV108" s="76"/>
      <c r="AW108" s="70"/>
      <c r="AX108" s="70"/>
      <c r="AZ108" s="79"/>
      <c r="BA108" s="79"/>
      <c r="BB108" s="79"/>
    </row>
    <row r="109" spans="11:54">
      <c r="K109" s="28"/>
      <c r="L109" s="28"/>
      <c r="M109" s="28"/>
      <c r="N109" s="28"/>
      <c r="O109" s="28"/>
      <c r="P109" s="28"/>
      <c r="Q109" s="28"/>
      <c r="AT109" s="75"/>
      <c r="AU109" s="70"/>
      <c r="AV109" s="76"/>
      <c r="AW109" s="70"/>
      <c r="AX109" s="70"/>
      <c r="AZ109" s="79"/>
      <c r="BA109" s="79"/>
      <c r="BB109" s="79"/>
    </row>
    <row r="110" spans="11:54">
      <c r="K110" s="28"/>
      <c r="L110" s="28"/>
      <c r="M110" s="28"/>
      <c r="N110" s="28"/>
      <c r="O110" s="28"/>
      <c r="P110" s="28"/>
      <c r="Q110" s="28"/>
      <c r="AT110" s="75"/>
      <c r="AU110" s="70"/>
      <c r="AV110" s="76"/>
      <c r="AW110" s="70"/>
      <c r="AX110" s="70"/>
      <c r="AZ110" s="79"/>
      <c r="BA110" s="79"/>
      <c r="BB110" s="79"/>
    </row>
    <row r="111" spans="11:54">
      <c r="K111" s="28"/>
      <c r="L111" s="28"/>
      <c r="M111" s="28"/>
      <c r="N111" s="28"/>
      <c r="O111" s="28"/>
      <c r="P111" s="28"/>
      <c r="Q111" s="28"/>
      <c r="AT111" s="75"/>
      <c r="AU111" s="70"/>
      <c r="AV111" s="76"/>
      <c r="AW111" s="70"/>
      <c r="AX111" s="70"/>
      <c r="AZ111" s="79"/>
      <c r="BA111" s="79"/>
      <c r="BB111" s="79"/>
    </row>
    <row r="112" spans="11:54">
      <c r="K112" s="28"/>
      <c r="L112" s="28"/>
      <c r="M112" s="28"/>
      <c r="N112" s="28"/>
      <c r="O112" s="28"/>
      <c r="P112" s="28"/>
      <c r="Q112" s="28"/>
      <c r="AT112" s="75"/>
      <c r="AU112" s="70"/>
      <c r="AV112" s="76"/>
      <c r="AW112" s="70"/>
      <c r="AX112" s="70"/>
      <c r="AZ112" s="79"/>
      <c r="BA112" s="79"/>
      <c r="BB112" s="79"/>
    </row>
    <row r="113" spans="11:54">
      <c r="K113" s="28"/>
      <c r="L113" s="28"/>
      <c r="M113" s="28"/>
      <c r="N113" s="28"/>
      <c r="O113" s="28"/>
      <c r="P113" s="28"/>
      <c r="Q113" s="28"/>
      <c r="AT113" s="75"/>
      <c r="AU113" s="70"/>
      <c r="AV113" s="76"/>
      <c r="AW113" s="70"/>
      <c r="AX113" s="70"/>
      <c r="AZ113" s="79"/>
      <c r="BA113" s="79"/>
      <c r="BB113" s="79"/>
    </row>
    <row r="114" spans="11:54">
      <c r="K114" s="28"/>
      <c r="L114" s="28"/>
      <c r="M114" s="28"/>
      <c r="N114" s="28"/>
      <c r="O114" s="28"/>
      <c r="P114" s="28"/>
      <c r="Q114" s="28"/>
      <c r="AT114" s="75"/>
      <c r="AU114" s="70"/>
      <c r="AV114" s="76"/>
      <c r="AW114" s="70"/>
      <c r="AX114" s="70"/>
      <c r="AZ114" s="79"/>
      <c r="BA114" s="79"/>
      <c r="BB114" s="79"/>
    </row>
    <row r="115" spans="11:54">
      <c r="K115" s="28"/>
      <c r="L115" s="28"/>
      <c r="M115" s="28"/>
      <c r="N115" s="28"/>
      <c r="O115" s="28"/>
      <c r="P115" s="28"/>
      <c r="Q115" s="28"/>
      <c r="AT115" s="73"/>
      <c r="AU115" s="70"/>
      <c r="AV115" s="74"/>
      <c r="AW115" s="70"/>
      <c r="AX115" s="70"/>
      <c r="AZ115" s="79"/>
      <c r="BA115" s="79"/>
      <c r="BB115" s="79"/>
    </row>
    <row r="116" spans="11:54">
      <c r="K116" s="28"/>
      <c r="L116" s="28"/>
      <c r="M116" s="28"/>
      <c r="N116" s="28"/>
      <c r="O116" s="28"/>
      <c r="P116" s="28"/>
      <c r="Q116" s="28"/>
      <c r="AT116" s="75"/>
      <c r="AU116" s="70"/>
      <c r="AV116" s="77"/>
      <c r="AW116" s="70"/>
      <c r="AX116" s="70"/>
      <c r="AZ116" s="79"/>
      <c r="BA116" s="79"/>
      <c r="BB116" s="79"/>
    </row>
    <row r="117" spans="11:54">
      <c r="O117" s="28"/>
      <c r="P117" s="28"/>
      <c r="Q117" s="28"/>
      <c r="AT117" s="75"/>
      <c r="AU117" s="70"/>
      <c r="AV117" s="77"/>
      <c r="AW117" s="70"/>
      <c r="AX117" s="70"/>
      <c r="AZ117" s="1039"/>
      <c r="BA117" s="1039"/>
      <c r="BB117" s="1039"/>
    </row>
    <row r="118" spans="11:54">
      <c r="AT118" s="75"/>
      <c r="AU118" s="70"/>
      <c r="AV118" s="77"/>
      <c r="AW118" s="70"/>
      <c r="AX118" s="70"/>
      <c r="AZ118" s="1024"/>
      <c r="BA118" s="1024"/>
      <c r="BB118" s="1024"/>
    </row>
    <row r="119" spans="11:54">
      <c r="AT119" s="75"/>
      <c r="AU119" s="70"/>
      <c r="AV119" s="77"/>
      <c r="AW119" s="70"/>
      <c r="AX119" s="70"/>
      <c r="AZ119" s="1024"/>
      <c r="BA119" s="1024"/>
      <c r="BB119" s="1024"/>
    </row>
    <row r="120" spans="11:54">
      <c r="AT120" s="75"/>
      <c r="AU120" s="70"/>
      <c r="AV120" s="77"/>
      <c r="AW120" s="70"/>
      <c r="AX120" s="70"/>
      <c r="AZ120" s="1024"/>
      <c r="BA120" s="1024"/>
      <c r="BB120" s="1024"/>
    </row>
    <row r="121" spans="11:54">
      <c r="AT121" s="75"/>
      <c r="AU121" s="70"/>
      <c r="AV121" s="77"/>
      <c r="AW121" s="70"/>
      <c r="AX121" s="70"/>
      <c r="AZ121" s="79"/>
      <c r="BA121" s="79"/>
      <c r="BB121" s="79"/>
    </row>
    <row r="122" spans="11:54">
      <c r="AT122" s="75"/>
      <c r="AU122" s="70"/>
      <c r="AV122" s="77"/>
      <c r="AW122" s="70"/>
      <c r="AX122" s="70"/>
      <c r="AZ122" s="79"/>
      <c r="BA122" s="79"/>
      <c r="BB122" s="79"/>
    </row>
    <row r="123" spans="11:54">
      <c r="AT123" s="75"/>
      <c r="AU123" s="70"/>
      <c r="AV123" s="77"/>
      <c r="AW123" s="70"/>
      <c r="AX123" s="70"/>
      <c r="AZ123" s="79"/>
      <c r="BA123" s="79"/>
      <c r="BB123" s="79"/>
    </row>
    <row r="124" spans="11:54">
      <c r="AT124" s="75"/>
      <c r="AU124" s="70"/>
      <c r="AV124" s="77"/>
      <c r="AW124" s="70"/>
      <c r="AX124" s="70"/>
      <c r="AZ124" s="79"/>
      <c r="BA124" s="79"/>
      <c r="BB124" s="79"/>
    </row>
    <row r="125" spans="11:54">
      <c r="AT125" s="75"/>
      <c r="AU125" s="70"/>
      <c r="AV125" s="77"/>
      <c r="AW125" s="70"/>
      <c r="AX125" s="70"/>
      <c r="AZ125" s="79"/>
      <c r="BA125" s="79"/>
      <c r="BB125" s="79"/>
    </row>
    <row r="126" spans="11:54">
      <c r="AT126" s="75"/>
      <c r="AU126" s="70"/>
      <c r="AV126" s="77"/>
      <c r="AW126" s="70"/>
      <c r="AX126" s="70"/>
      <c r="AZ126" s="79"/>
      <c r="BA126" s="79"/>
      <c r="BB126" s="79"/>
    </row>
    <row r="127" spans="11:54">
      <c r="AT127" s="75"/>
      <c r="AU127" s="70"/>
      <c r="AV127" s="77"/>
      <c r="AW127" s="70"/>
      <c r="AX127" s="70"/>
      <c r="AZ127" s="79"/>
      <c r="BA127" s="79"/>
      <c r="BB127" s="79"/>
    </row>
    <row r="128" spans="11:54">
      <c r="AT128" s="75"/>
      <c r="AU128" s="70"/>
      <c r="AV128" s="77"/>
      <c r="AW128" s="70"/>
      <c r="AX128" s="70"/>
      <c r="AZ128" s="79"/>
      <c r="BA128" s="79"/>
      <c r="BB128" s="79"/>
    </row>
    <row r="129" spans="46:54">
      <c r="AT129" s="75"/>
      <c r="AU129" s="70"/>
      <c r="AV129" s="77"/>
      <c r="AW129" s="70"/>
      <c r="AX129" s="70"/>
      <c r="AZ129" s="79"/>
      <c r="BA129" s="79"/>
      <c r="BB129" s="79"/>
    </row>
    <row r="130" spans="46:54">
      <c r="AT130" s="75"/>
      <c r="AU130" s="70"/>
      <c r="AV130" s="77"/>
      <c r="AW130" s="70"/>
      <c r="AX130" s="70"/>
      <c r="AZ130" s="79"/>
      <c r="BA130" s="79"/>
      <c r="BB130" s="79"/>
    </row>
    <row r="131" spans="46:54">
      <c r="AT131" s="75"/>
      <c r="AU131" s="70"/>
      <c r="AV131" s="77"/>
      <c r="AW131" s="70"/>
      <c r="AX131" s="70"/>
      <c r="AZ131" s="79"/>
      <c r="BA131" s="79"/>
      <c r="BB131" s="79"/>
    </row>
    <row r="132" spans="46:54">
      <c r="AT132" s="75"/>
      <c r="AU132" s="70"/>
      <c r="AV132" s="78"/>
      <c r="AW132" s="70"/>
      <c r="AX132" s="70"/>
      <c r="AZ132" s="79"/>
      <c r="BA132" s="79"/>
      <c r="BB132" s="79"/>
    </row>
    <row r="133" spans="46:54">
      <c r="AT133" s="75"/>
      <c r="AU133" s="70"/>
      <c r="AV133" s="78"/>
      <c r="AW133" s="70"/>
      <c r="AX133" s="70"/>
      <c r="AZ133" s="79"/>
      <c r="BA133" s="79"/>
      <c r="BB133" s="79"/>
    </row>
    <row r="134" spans="46:54">
      <c r="AT134" s="75"/>
      <c r="AU134" s="70"/>
      <c r="AV134" s="78"/>
      <c r="AW134" s="70"/>
      <c r="AX134" s="70"/>
      <c r="AZ134" s="79"/>
      <c r="BA134" s="79"/>
      <c r="BB134" s="79"/>
    </row>
    <row r="135" spans="46:54">
      <c r="AT135" s="75"/>
      <c r="AU135" s="70"/>
      <c r="AV135" s="78"/>
      <c r="AW135" s="70"/>
      <c r="AX135" s="70"/>
      <c r="AZ135" s="79"/>
      <c r="BA135" s="79"/>
      <c r="BB135" s="79"/>
    </row>
    <row r="136" spans="46:54">
      <c r="AT136" s="75"/>
      <c r="AU136" s="70"/>
      <c r="AV136" s="78"/>
      <c r="AW136" s="70"/>
      <c r="AX136" s="70"/>
      <c r="AZ136" s="79"/>
      <c r="BA136" s="79"/>
      <c r="BB136" s="79"/>
    </row>
    <row r="137" spans="46:54">
      <c r="AT137" s="75"/>
      <c r="AU137" s="70"/>
      <c r="AV137" s="78"/>
      <c r="AW137" s="70"/>
      <c r="AX137" s="70"/>
      <c r="AZ137" s="79"/>
      <c r="BA137" s="79"/>
      <c r="BB137" s="79"/>
    </row>
    <row r="138" spans="46:54">
      <c r="AT138" s="75"/>
      <c r="AU138" s="70"/>
      <c r="AV138" s="78"/>
      <c r="AW138" s="70"/>
      <c r="AX138" s="70"/>
      <c r="AZ138" s="79"/>
      <c r="BA138" s="79"/>
      <c r="BB138" s="79"/>
    </row>
    <row r="139" spans="46:54">
      <c r="AT139" s="75"/>
      <c r="AU139" s="70"/>
      <c r="AV139" s="78"/>
      <c r="AW139" s="70"/>
      <c r="AX139" s="70"/>
      <c r="AZ139" s="79"/>
      <c r="BA139" s="79"/>
      <c r="BB139" s="79"/>
    </row>
    <row r="140" spans="46:54">
      <c r="AT140" s="75"/>
      <c r="AU140" s="70"/>
      <c r="AV140" s="78"/>
      <c r="AW140" s="70"/>
      <c r="AX140" s="70"/>
      <c r="AZ140" s="79"/>
      <c r="BA140" s="79"/>
      <c r="BB140" s="79"/>
    </row>
    <row r="141" spans="46:54">
      <c r="AT141" s="73"/>
      <c r="AU141" s="70"/>
      <c r="AV141" s="74"/>
      <c r="AW141" s="70"/>
      <c r="AX141" s="70"/>
      <c r="AZ141" s="79"/>
      <c r="BA141" s="79"/>
      <c r="BB141" s="79"/>
    </row>
    <row r="142" spans="46:54">
      <c r="AT142" s="75"/>
      <c r="AU142" s="70"/>
      <c r="AV142" s="70"/>
      <c r="AW142" s="70"/>
      <c r="AX142" s="70"/>
      <c r="AZ142" s="79"/>
      <c r="BA142" s="79"/>
      <c r="BB142" s="79"/>
    </row>
    <row r="143" spans="46:54">
      <c r="AT143" s="75"/>
      <c r="AU143" s="70"/>
      <c r="AV143" s="70"/>
      <c r="AW143" s="70"/>
      <c r="AX143" s="70"/>
      <c r="AZ143" s="1039"/>
      <c r="BA143" s="1039"/>
      <c r="BB143" s="1039"/>
    </row>
    <row r="144" spans="46:54">
      <c r="AT144" s="75"/>
      <c r="AU144" s="70"/>
      <c r="AV144" s="70"/>
      <c r="AW144" s="70"/>
      <c r="AX144" s="70"/>
      <c r="AZ144" s="1024"/>
      <c r="BA144" s="1024"/>
      <c r="BB144" s="1024"/>
    </row>
    <row r="145" spans="46:54">
      <c r="AT145" s="75"/>
      <c r="AU145" s="70"/>
      <c r="AV145" s="70"/>
      <c r="AW145" s="70"/>
      <c r="AX145" s="70"/>
      <c r="AZ145" s="1024"/>
      <c r="BA145" s="1024"/>
      <c r="BB145" s="1024"/>
    </row>
    <row r="146" spans="46:54">
      <c r="AT146" s="75"/>
      <c r="AU146" s="70"/>
      <c r="AV146" s="70"/>
      <c r="AW146" s="70"/>
      <c r="AX146" s="70"/>
      <c r="AZ146" s="1024"/>
      <c r="BA146" s="1024"/>
      <c r="BB146" s="1024"/>
    </row>
    <row r="147" spans="46:54">
      <c r="AT147" s="75"/>
      <c r="AU147" s="70"/>
      <c r="AV147" s="70"/>
      <c r="AW147" s="70"/>
      <c r="AX147" s="70"/>
      <c r="AZ147" s="79"/>
      <c r="BA147" s="79"/>
      <c r="BB147" s="79"/>
    </row>
    <row r="148" spans="46:54">
      <c r="AT148" s="75"/>
      <c r="AU148" s="70"/>
      <c r="AV148" s="70"/>
      <c r="AW148" s="70"/>
      <c r="AX148" s="70"/>
      <c r="AZ148" s="79"/>
      <c r="BA148" s="79"/>
      <c r="BB148" s="79"/>
    </row>
    <row r="149" spans="46:54">
      <c r="AT149" s="75"/>
      <c r="AU149" s="70"/>
      <c r="AV149" s="70"/>
      <c r="AW149" s="70"/>
      <c r="AX149" s="70"/>
      <c r="AZ149" s="79"/>
      <c r="BA149" s="79"/>
      <c r="BB149" s="79"/>
    </row>
    <row r="150" spans="46:54">
      <c r="AT150" s="75"/>
      <c r="AU150" s="70"/>
      <c r="AV150" s="70"/>
      <c r="AW150" s="70"/>
      <c r="AX150" s="70"/>
      <c r="AZ150" s="79"/>
      <c r="BA150" s="79"/>
      <c r="BB150" s="79"/>
    </row>
    <row r="151" spans="46:54">
      <c r="AT151" s="75"/>
      <c r="AU151" s="70"/>
      <c r="AV151" s="70"/>
      <c r="AW151" s="70"/>
      <c r="AX151" s="70"/>
      <c r="AZ151" s="79"/>
      <c r="BA151" s="79"/>
      <c r="BB151" s="79"/>
    </row>
    <row r="152" spans="46:54">
      <c r="AT152" s="75"/>
      <c r="AU152" s="70"/>
      <c r="AV152" s="70"/>
      <c r="AW152" s="70"/>
      <c r="AX152" s="70"/>
      <c r="AZ152" s="79"/>
      <c r="BA152" s="79"/>
      <c r="BB152" s="79"/>
    </row>
    <row r="153" spans="46:54">
      <c r="AT153" s="75"/>
      <c r="AU153" s="70"/>
      <c r="AV153" s="70"/>
      <c r="AW153" s="70"/>
      <c r="AX153" s="70"/>
      <c r="AZ153" s="79"/>
      <c r="BA153" s="79"/>
      <c r="BB153" s="79"/>
    </row>
    <row r="154" spans="46:54">
      <c r="AT154" s="75"/>
      <c r="AU154" s="70"/>
      <c r="AV154" s="70"/>
      <c r="AW154" s="70"/>
      <c r="AX154" s="70"/>
      <c r="AZ154" s="79"/>
      <c r="BA154" s="79"/>
      <c r="BB154" s="79"/>
    </row>
    <row r="155" spans="46:54">
      <c r="AT155" s="75"/>
      <c r="AU155" s="70"/>
      <c r="AV155" s="70"/>
      <c r="AW155" s="70"/>
      <c r="AX155" s="70"/>
      <c r="AZ155" s="79"/>
      <c r="BA155" s="79"/>
      <c r="BB155" s="79"/>
    </row>
    <row r="156" spans="46:54">
      <c r="AT156" s="75"/>
      <c r="AU156" s="70"/>
      <c r="AV156" s="70"/>
      <c r="AW156" s="70"/>
      <c r="AX156" s="70"/>
      <c r="AZ156" s="79"/>
      <c r="BA156" s="79"/>
      <c r="BB156" s="79"/>
    </row>
    <row r="157" spans="46:54">
      <c r="AT157" s="75"/>
      <c r="AU157" s="70"/>
      <c r="AV157" s="70"/>
      <c r="AW157" s="70"/>
      <c r="AX157" s="70"/>
      <c r="AZ157" s="79"/>
      <c r="BA157" s="79"/>
      <c r="BB157" s="79"/>
    </row>
    <row r="158" spans="46:54">
      <c r="AT158" s="75"/>
      <c r="AU158" s="70"/>
      <c r="AV158" s="70"/>
      <c r="AW158" s="70"/>
      <c r="AX158" s="70"/>
      <c r="AZ158" s="79"/>
      <c r="BA158" s="79"/>
      <c r="BB158" s="79"/>
    </row>
    <row r="159" spans="46:54">
      <c r="AT159" s="75"/>
      <c r="AU159" s="70"/>
      <c r="AV159" s="70"/>
      <c r="AW159" s="70"/>
      <c r="AX159" s="70"/>
      <c r="AZ159" s="79"/>
      <c r="BA159" s="79"/>
      <c r="BB159" s="79"/>
    </row>
    <row r="160" spans="46:54">
      <c r="AT160" s="75"/>
      <c r="AU160" s="70"/>
      <c r="AV160" s="70"/>
      <c r="AW160" s="70"/>
      <c r="AX160" s="70"/>
      <c r="AZ160" s="79"/>
      <c r="BA160" s="79"/>
      <c r="BB160" s="79"/>
    </row>
    <row r="161" spans="46:54">
      <c r="AT161" s="75"/>
      <c r="AU161" s="70"/>
      <c r="AV161" s="70"/>
      <c r="AW161" s="70"/>
      <c r="AX161" s="70"/>
      <c r="AZ161" s="79"/>
      <c r="BA161" s="79"/>
      <c r="BB161" s="79"/>
    </row>
    <row r="162" spans="46:54">
      <c r="AT162" s="75"/>
      <c r="AU162" s="70"/>
      <c r="AV162" s="70"/>
      <c r="AW162" s="70"/>
      <c r="AX162" s="70"/>
      <c r="AZ162" s="79"/>
      <c r="BA162" s="79"/>
      <c r="BB162" s="79"/>
    </row>
    <row r="163" spans="46:54">
      <c r="AT163" s="75"/>
      <c r="AU163" s="70"/>
      <c r="AV163" s="70"/>
      <c r="AW163" s="70"/>
      <c r="AX163" s="70"/>
      <c r="AZ163" s="79"/>
      <c r="BA163" s="79"/>
      <c r="BB163" s="79"/>
    </row>
    <row r="164" spans="46:54">
      <c r="AT164" s="75"/>
      <c r="AU164" s="70"/>
      <c r="AV164" s="70"/>
      <c r="AW164" s="70"/>
      <c r="AX164" s="70"/>
      <c r="AZ164" s="79"/>
      <c r="BA164" s="79"/>
      <c r="BB164" s="79"/>
    </row>
    <row r="165" spans="46:54">
      <c r="AT165" s="75"/>
      <c r="AU165" s="70"/>
      <c r="AV165" s="70"/>
      <c r="AW165" s="70"/>
      <c r="AX165" s="70"/>
      <c r="AZ165" s="79"/>
      <c r="BA165" s="79"/>
      <c r="BB165" s="79"/>
    </row>
    <row r="166" spans="46:54">
      <c r="AT166" s="75"/>
      <c r="AU166" s="70"/>
      <c r="AV166" s="70"/>
      <c r="AW166" s="70"/>
      <c r="AX166" s="70"/>
      <c r="AZ166" s="79"/>
      <c r="BA166" s="79"/>
      <c r="BB166" s="79"/>
    </row>
    <row r="167" spans="46:54">
      <c r="AT167" s="75"/>
      <c r="AU167" s="70"/>
      <c r="AV167" s="70"/>
      <c r="AW167" s="70"/>
      <c r="AX167" s="70"/>
      <c r="AZ167" s="79"/>
      <c r="BA167" s="79"/>
      <c r="BB167" s="79"/>
    </row>
    <row r="168" spans="46:54">
      <c r="AT168" s="75"/>
      <c r="AU168" s="70"/>
      <c r="AV168" s="70"/>
      <c r="AW168" s="70"/>
      <c r="AX168" s="70"/>
      <c r="AZ168" s="79"/>
      <c r="BA168" s="79"/>
      <c r="BB168" s="79"/>
    </row>
    <row r="169" spans="46:54">
      <c r="AT169" s="75"/>
      <c r="AU169" s="70"/>
      <c r="AV169" s="70"/>
      <c r="AW169" s="70"/>
      <c r="AX169" s="70"/>
      <c r="AZ169" s="79"/>
      <c r="BA169" s="79"/>
      <c r="BB169" s="79"/>
    </row>
    <row r="170" spans="46:54">
      <c r="AT170" s="75"/>
      <c r="AU170" s="70"/>
      <c r="AV170" s="70"/>
      <c r="AW170" s="70"/>
      <c r="AX170" s="70"/>
      <c r="AZ170" s="79"/>
      <c r="BA170" s="79"/>
      <c r="BB170" s="79"/>
    </row>
    <row r="171" spans="46:54">
      <c r="AT171" s="75"/>
      <c r="AU171" s="70"/>
      <c r="AV171" s="70"/>
      <c r="AW171" s="70"/>
      <c r="AX171" s="70"/>
      <c r="AZ171" s="79"/>
      <c r="BA171" s="79"/>
      <c r="BB171" s="79"/>
    </row>
    <row r="172" spans="46:54">
      <c r="AT172" s="75"/>
      <c r="AU172" s="70"/>
      <c r="AV172" s="70"/>
      <c r="AW172" s="70"/>
      <c r="AX172" s="70"/>
      <c r="AZ172" s="79"/>
      <c r="BA172" s="79"/>
      <c r="BB172" s="79"/>
    </row>
    <row r="173" spans="46:54">
      <c r="AT173" s="75"/>
      <c r="AU173" s="70"/>
      <c r="AV173" s="70"/>
      <c r="AW173" s="70"/>
      <c r="AX173" s="70"/>
      <c r="AZ173" s="79"/>
      <c r="BA173" s="79"/>
      <c r="BB173" s="79"/>
    </row>
    <row r="174" spans="46:54">
      <c r="AT174" s="75"/>
      <c r="AU174" s="70"/>
      <c r="AV174" s="70"/>
      <c r="AW174" s="70"/>
      <c r="AX174" s="70"/>
      <c r="AZ174" s="79"/>
      <c r="BA174" s="79"/>
      <c r="BB174" s="79"/>
    </row>
    <row r="175" spans="46:54">
      <c r="AT175" s="75"/>
      <c r="AU175" s="70"/>
      <c r="AV175" s="70"/>
      <c r="AW175" s="70"/>
      <c r="AX175" s="70"/>
      <c r="AZ175" s="79"/>
      <c r="BA175" s="79"/>
      <c r="BB175" s="79"/>
    </row>
    <row r="176" spans="46:54">
      <c r="AT176" s="75"/>
      <c r="AU176" s="70"/>
      <c r="AV176" s="70"/>
      <c r="AW176" s="70"/>
      <c r="AX176" s="70"/>
      <c r="AZ176" s="79"/>
      <c r="BA176" s="79"/>
      <c r="BB176" s="79"/>
    </row>
    <row r="177" spans="46:54">
      <c r="AT177" s="75"/>
      <c r="AU177" s="70"/>
      <c r="AV177" s="70"/>
      <c r="AW177" s="70"/>
      <c r="AX177" s="70"/>
      <c r="AZ177" s="79"/>
      <c r="BA177" s="79"/>
      <c r="BB177" s="79"/>
    </row>
    <row r="178" spans="46:54">
      <c r="AT178" s="75"/>
      <c r="AU178" s="70"/>
      <c r="AV178" s="70"/>
      <c r="AW178" s="70"/>
      <c r="AX178" s="70"/>
      <c r="AZ178" s="79"/>
      <c r="BA178" s="79"/>
      <c r="BB178" s="79"/>
    </row>
    <row r="179" spans="46:54">
      <c r="AT179" s="75"/>
      <c r="AU179" s="70"/>
      <c r="AV179" s="70"/>
      <c r="AW179" s="70"/>
      <c r="AX179" s="70"/>
      <c r="AZ179" s="79"/>
      <c r="BA179" s="79"/>
      <c r="BB179" s="79"/>
    </row>
    <row r="180" spans="46:54">
      <c r="AT180" s="75"/>
      <c r="AU180" s="70"/>
      <c r="AV180" s="70"/>
      <c r="AW180" s="70"/>
      <c r="AX180" s="70"/>
      <c r="AZ180" s="79"/>
      <c r="BA180" s="79"/>
      <c r="BB180" s="79"/>
    </row>
    <row r="181" spans="46:54">
      <c r="AT181" s="75"/>
      <c r="AU181" s="70"/>
      <c r="AV181" s="70"/>
      <c r="AW181" s="70"/>
      <c r="AX181" s="70"/>
      <c r="AZ181" s="79"/>
      <c r="BA181" s="79"/>
      <c r="BB181" s="79"/>
    </row>
    <row r="182" spans="46:54">
      <c r="AT182" s="75"/>
      <c r="AU182" s="70"/>
      <c r="AV182" s="70"/>
      <c r="AW182" s="70"/>
      <c r="AX182" s="70"/>
      <c r="AZ182" s="79"/>
      <c r="BA182" s="79"/>
      <c r="BB182" s="79"/>
    </row>
    <row r="183" spans="46:54">
      <c r="AT183" s="75"/>
      <c r="AU183" s="70"/>
      <c r="AV183" s="70"/>
      <c r="AW183" s="70"/>
      <c r="AX183" s="70"/>
      <c r="AZ183" s="79"/>
      <c r="BA183" s="79"/>
      <c r="BB183" s="79"/>
    </row>
    <row r="184" spans="46:54">
      <c r="AT184" s="75"/>
      <c r="AU184" s="70"/>
      <c r="AV184" s="70"/>
      <c r="AW184" s="70"/>
      <c r="AX184" s="70"/>
      <c r="AZ184" s="79"/>
      <c r="BA184" s="79"/>
      <c r="BB184" s="79"/>
    </row>
    <row r="185" spans="46:54">
      <c r="AT185" s="75"/>
      <c r="AU185" s="70"/>
      <c r="AV185" s="70"/>
      <c r="AW185" s="70"/>
      <c r="AX185" s="70"/>
      <c r="AZ185" s="79"/>
      <c r="BA185" s="79"/>
      <c r="BB185" s="79"/>
    </row>
    <row r="186" spans="46:54">
      <c r="AT186" s="75"/>
      <c r="AU186" s="70"/>
      <c r="AV186" s="70"/>
      <c r="AW186" s="70"/>
      <c r="AX186" s="70"/>
      <c r="AZ186" s="79"/>
      <c r="BA186" s="79"/>
      <c r="BB186" s="79"/>
    </row>
    <row r="187" spans="46:54">
      <c r="AT187" s="75"/>
      <c r="AU187" s="70"/>
      <c r="AV187" s="70"/>
      <c r="AW187" s="70"/>
      <c r="AX187" s="70"/>
      <c r="AZ187" s="79"/>
      <c r="BA187" s="79"/>
      <c r="BB187" s="79"/>
    </row>
    <row r="188" spans="46:54">
      <c r="AT188" s="75"/>
      <c r="AU188" s="70"/>
      <c r="AV188" s="70"/>
      <c r="AW188" s="70"/>
      <c r="AX188" s="70"/>
      <c r="AZ188" s="79"/>
      <c r="BA188" s="79"/>
      <c r="BB188" s="79"/>
    </row>
    <row r="189" spans="46:54">
      <c r="AT189" s="75"/>
      <c r="AU189" s="70"/>
      <c r="AV189" s="70"/>
      <c r="AW189" s="70"/>
      <c r="AX189" s="70"/>
      <c r="AZ189" s="79"/>
      <c r="BA189" s="79"/>
      <c r="BB189" s="79"/>
    </row>
    <row r="190" spans="46:54">
      <c r="AT190" s="75"/>
      <c r="AU190" s="70"/>
      <c r="AV190" s="70"/>
      <c r="AW190" s="70"/>
      <c r="AX190" s="70"/>
      <c r="AZ190" s="79"/>
      <c r="BA190" s="79"/>
      <c r="BB190" s="79"/>
    </row>
    <row r="191" spans="46:54">
      <c r="AT191" s="75"/>
      <c r="AU191" s="70"/>
      <c r="AV191" s="70"/>
      <c r="AW191" s="70"/>
      <c r="AX191" s="70"/>
      <c r="AZ191" s="79"/>
      <c r="BA191" s="79"/>
      <c r="BB191" s="79"/>
    </row>
    <row r="192" spans="46:54">
      <c r="AZ192" s="79"/>
      <c r="BA192" s="79"/>
      <c r="BB192" s="79"/>
    </row>
    <row r="193" spans="52:54">
      <c r="AZ193" s="79"/>
      <c r="BA193" s="79"/>
      <c r="BB193" s="79"/>
    </row>
    <row r="194" spans="52:54">
      <c r="AZ194" s="79"/>
      <c r="BA194" s="79"/>
      <c r="BB194" s="79"/>
    </row>
    <row r="195" spans="52:54">
      <c r="AZ195" s="23"/>
      <c r="BA195" s="23"/>
      <c r="BB195" s="23"/>
    </row>
    <row r="196" spans="52:54">
      <c r="AZ196" s="23"/>
      <c r="BA196" s="23"/>
      <c r="BB196" s="23"/>
    </row>
    <row r="197" spans="52:54">
      <c r="AZ197" s="23"/>
      <c r="BA197" s="23"/>
      <c r="BB197" s="23"/>
    </row>
    <row r="198" spans="52:54">
      <c r="AZ198" s="23"/>
      <c r="BA198" s="23"/>
      <c r="BB198" s="23"/>
    </row>
    <row r="199" spans="52:54">
      <c r="AZ199" s="23"/>
      <c r="BA199" s="23"/>
      <c r="BB199" s="23"/>
    </row>
    <row r="200" spans="52:54">
      <c r="AZ200" s="23"/>
      <c r="BA200" s="23"/>
      <c r="BB200" s="23"/>
    </row>
  </sheetData>
  <sheetProtection algorithmName="SHA-512" hashValue="pWX7bkdphGHjFamlB7DNpWW9o5EOlSWwaxS5FUtuRDXJ3VK/0Ek8ebAzdNzdqSj9MG2+FGmAf9+6hKM1UqjUhA==" saltValue="OPRYF+CyNTfZWHVdWJUlnA==" spinCount="100000" sheet="1" objects="1" scenarios="1"/>
  <mergeCells count="258">
    <mergeCell ref="C1:H1"/>
    <mergeCell ref="AI4:AI5"/>
    <mergeCell ref="AE28:AF28"/>
    <mergeCell ref="AH23:AH24"/>
    <mergeCell ref="AG4:AG6"/>
    <mergeCell ref="AF4:AF6"/>
    <mergeCell ref="AE4:AE6"/>
    <mergeCell ref="AD4:AD6"/>
    <mergeCell ref="AH4:AH5"/>
    <mergeCell ref="AD23:AE24"/>
    <mergeCell ref="T21:X21"/>
    <mergeCell ref="P2:AB2"/>
    <mergeCell ref="Y3:AB3"/>
    <mergeCell ref="Z18:AA18"/>
    <mergeCell ref="Z16:AA16"/>
    <mergeCell ref="P4:Q4"/>
    <mergeCell ref="T7:AB9"/>
    <mergeCell ref="P8:Q8"/>
    <mergeCell ref="Y6:AB6"/>
    <mergeCell ref="Y4:AB4"/>
    <mergeCell ref="W4:X4"/>
    <mergeCell ref="W5:X5"/>
    <mergeCell ref="W6:X6"/>
    <mergeCell ref="P5:Q5"/>
    <mergeCell ref="AG59:AH60"/>
    <mergeCell ref="B51:C51"/>
    <mergeCell ref="AE32:AF32"/>
    <mergeCell ref="AG32:AH32"/>
    <mergeCell ref="AE27:AF27"/>
    <mergeCell ref="AG27:AH27"/>
    <mergeCell ref="AE30:AF30"/>
    <mergeCell ref="O34:Q34"/>
    <mergeCell ref="W27:X27"/>
    <mergeCell ref="AD38:AL38"/>
    <mergeCell ref="AE39:AL39"/>
    <mergeCell ref="AD39:AD40"/>
    <mergeCell ref="AD58:AH58"/>
    <mergeCell ref="G46:H46"/>
    <mergeCell ref="B47:C47"/>
    <mergeCell ref="AD2:AI3"/>
    <mergeCell ref="AP13:AR13"/>
    <mergeCell ref="AP18:AR18"/>
    <mergeCell ref="AL2:AN2"/>
    <mergeCell ref="AG30:AH30"/>
    <mergeCell ref="AL8:AM8"/>
    <mergeCell ref="AG29:AH29"/>
    <mergeCell ref="AD22:AH22"/>
    <mergeCell ref="AP21:AR21"/>
    <mergeCell ref="AY78:BA78"/>
    <mergeCell ref="AZ65:BB65"/>
    <mergeCell ref="AZ66:BB66"/>
    <mergeCell ref="AP34:AR34"/>
    <mergeCell ref="AZ144:BB144"/>
    <mergeCell ref="AU70:AX71"/>
    <mergeCell ref="AY76:BA76"/>
    <mergeCell ref="AT71:AT72"/>
    <mergeCell ref="AZ143:BB143"/>
    <mergeCell ref="AZ64:BB64"/>
    <mergeCell ref="AZ120:BB120"/>
    <mergeCell ref="AZ118:BB118"/>
    <mergeCell ref="AZ119:BB119"/>
    <mergeCell ref="AY77:BA77"/>
    <mergeCell ref="AZ145:BB145"/>
    <mergeCell ref="AZ146:BB146"/>
    <mergeCell ref="AU63:AX64"/>
    <mergeCell ref="AT64:AT65"/>
    <mergeCell ref="AY75:BA75"/>
    <mergeCell ref="AE61:AF61"/>
    <mergeCell ref="AP20:AR20"/>
    <mergeCell ref="AF23:AG24"/>
    <mergeCell ref="O23:R23"/>
    <mergeCell ref="V22:W23"/>
    <mergeCell ref="X22:X23"/>
    <mergeCell ref="T24:T25"/>
    <mergeCell ref="W24:X25"/>
    <mergeCell ref="AG61:AH61"/>
    <mergeCell ref="AG63:AH63"/>
    <mergeCell ref="AG64:AH64"/>
    <mergeCell ref="AG65:AH65"/>
    <mergeCell ref="AG66:AH66"/>
    <mergeCell ref="AE60:AF60"/>
    <mergeCell ref="AE65:AF65"/>
    <mergeCell ref="AP33:AR33"/>
    <mergeCell ref="AZ117:BB117"/>
    <mergeCell ref="AZ67:BB67"/>
    <mergeCell ref="AZ63:BB63"/>
    <mergeCell ref="AP32:AR32"/>
    <mergeCell ref="T22:U23"/>
    <mergeCell ref="U31:V31"/>
    <mergeCell ref="AP25:AR25"/>
    <mergeCell ref="AP26:AR26"/>
    <mergeCell ref="AE34:AH34"/>
    <mergeCell ref="W35:X35"/>
    <mergeCell ref="W26:X26"/>
    <mergeCell ref="W29:X29"/>
    <mergeCell ref="AG25:AH26"/>
    <mergeCell ref="AD25:AD26"/>
    <mergeCell ref="W28:X28"/>
    <mergeCell ref="U29:V29"/>
    <mergeCell ref="AG28:AH28"/>
    <mergeCell ref="AE29:AF29"/>
    <mergeCell ref="AE31:AF31"/>
    <mergeCell ref="AG31:AH31"/>
    <mergeCell ref="U27:V27"/>
    <mergeCell ref="AE25:AF26"/>
    <mergeCell ref="AP28:AR28"/>
    <mergeCell ref="AP27:AR27"/>
    <mergeCell ref="AP31:AR31"/>
    <mergeCell ref="AY17:BA17"/>
    <mergeCell ref="BD14:BE14"/>
    <mergeCell ref="BD12:BE12"/>
    <mergeCell ref="BD13:BE13"/>
    <mergeCell ref="BD11:BE11"/>
    <mergeCell ref="AY16:BA16"/>
    <mergeCell ref="AY18:BA18"/>
    <mergeCell ref="AP19:AR19"/>
    <mergeCell ref="AY19:BA19"/>
    <mergeCell ref="AP11:AR11"/>
    <mergeCell ref="AP12:AR12"/>
    <mergeCell ref="BD8:BE8"/>
    <mergeCell ref="BN14:BO14"/>
    <mergeCell ref="BQ14:BR14"/>
    <mergeCell ref="BE5:BK6"/>
    <mergeCell ref="BD10:BE10"/>
    <mergeCell ref="AP10:AR10"/>
    <mergeCell ref="AU5:AU6"/>
    <mergeCell ref="BN3:BO4"/>
    <mergeCell ref="BD7:BE7"/>
    <mergeCell ref="BD9:BE9"/>
    <mergeCell ref="BR5:BS5"/>
    <mergeCell ref="BO6:BP6"/>
    <mergeCell ref="BR6:BS6"/>
    <mergeCell ref="BN8:BO8"/>
    <mergeCell ref="BQ10:BR10"/>
    <mergeCell ref="BN10:BO10"/>
    <mergeCell ref="BQ12:BR12"/>
    <mergeCell ref="BV3:BW4"/>
    <mergeCell ref="BV20:BW20"/>
    <mergeCell ref="BN61:BP61"/>
    <mergeCell ref="BV61:BX61"/>
    <mergeCell ref="BM30:CB30"/>
    <mergeCell ref="BX20:BZ20"/>
    <mergeCell ref="BQ18:BR18"/>
    <mergeCell ref="BQ20:BR20"/>
    <mergeCell ref="BZ6:CA6"/>
    <mergeCell ref="BY8:BZ8"/>
    <mergeCell ref="BQ3:BR4"/>
    <mergeCell ref="BY3:BZ4"/>
    <mergeCell ref="BX18:BZ18"/>
    <mergeCell ref="BW6:BX6"/>
    <mergeCell ref="BQ8:BR8"/>
    <mergeCell ref="BV14:BW14"/>
    <mergeCell ref="BV12:BW12"/>
    <mergeCell ref="BV8:BW8"/>
    <mergeCell ref="BV10:BW10"/>
    <mergeCell ref="BY10:BZ10"/>
    <mergeCell ref="BY12:BZ12"/>
    <mergeCell ref="BY14:BZ14"/>
    <mergeCell ref="BY16:BZ16"/>
    <mergeCell ref="BN12:BO12"/>
    <mergeCell ref="BO75:BR75"/>
    <mergeCell ref="BW75:BZ75"/>
    <mergeCell ref="BN16:BO16"/>
    <mergeCell ref="BN18:BO18"/>
    <mergeCell ref="BN20:BO20"/>
    <mergeCell ref="BQ16:BR16"/>
    <mergeCell ref="BO74:BR74"/>
    <mergeCell ref="BW74:BZ74"/>
    <mergeCell ref="BV16:BW16"/>
    <mergeCell ref="BV18:BW18"/>
    <mergeCell ref="H62:I62"/>
    <mergeCell ref="O31:P31"/>
    <mergeCell ref="U24:V25"/>
    <mergeCell ref="U26:V26"/>
    <mergeCell ref="G9:H9"/>
    <mergeCell ref="R3:T3"/>
    <mergeCell ref="P10:Q11"/>
    <mergeCell ref="R11:X11"/>
    <mergeCell ref="W3:X3"/>
    <mergeCell ref="W31:X31"/>
    <mergeCell ref="U30:V30"/>
    <mergeCell ref="W30:X30"/>
    <mergeCell ref="U28:V28"/>
    <mergeCell ref="X18:Y18"/>
    <mergeCell ref="P7:Q7"/>
    <mergeCell ref="T14:T16"/>
    <mergeCell ref="X14:Y14"/>
    <mergeCell ref="G11:H11"/>
    <mergeCell ref="U14:U16"/>
    <mergeCell ref="G7:H7"/>
    <mergeCell ref="Y5:AB5"/>
    <mergeCell ref="F6:H6"/>
    <mergeCell ref="X13:Y13"/>
    <mergeCell ref="P3:Q3"/>
    <mergeCell ref="A17:C17"/>
    <mergeCell ref="P6:Q6"/>
    <mergeCell ref="O12:U13"/>
    <mergeCell ref="W16:W17"/>
    <mergeCell ref="F17:H17"/>
    <mergeCell ref="P9:Q9"/>
    <mergeCell ref="S14:S16"/>
    <mergeCell ref="F14:G14"/>
    <mergeCell ref="O14:O16"/>
    <mergeCell ref="Q14:Q16"/>
    <mergeCell ref="P14:P16"/>
    <mergeCell ref="R14:R16"/>
    <mergeCell ref="F9:F13"/>
    <mergeCell ref="R10:W10"/>
    <mergeCell ref="T6:U6"/>
    <mergeCell ref="G12:H12"/>
    <mergeCell ref="T4:U4"/>
    <mergeCell ref="T5:U5"/>
    <mergeCell ref="O24:O25"/>
    <mergeCell ref="Q26:R26"/>
    <mergeCell ref="A7:C7"/>
    <mergeCell ref="A20:C20"/>
    <mergeCell ref="V12:AA12"/>
    <mergeCell ref="G8:H8"/>
    <mergeCell ref="G10:H10"/>
    <mergeCell ref="X16:Y16"/>
    <mergeCell ref="O22:P22"/>
    <mergeCell ref="O21:S21"/>
    <mergeCell ref="A3:G4"/>
    <mergeCell ref="C21:C22"/>
    <mergeCell ref="Z10:AB10"/>
    <mergeCell ref="Y11:AA11"/>
    <mergeCell ref="Z13:AA14"/>
    <mergeCell ref="Z15:AA15"/>
    <mergeCell ref="X17:Y17"/>
    <mergeCell ref="Z17:AA17"/>
    <mergeCell ref="X15:Y15"/>
    <mergeCell ref="B21:B22"/>
    <mergeCell ref="G13:H13"/>
    <mergeCell ref="D21:D22"/>
    <mergeCell ref="AD77:AD78"/>
    <mergeCell ref="AJ60:AL60"/>
    <mergeCell ref="AE63:AF63"/>
    <mergeCell ref="AD75:AO75"/>
    <mergeCell ref="AJ59:AN59"/>
    <mergeCell ref="AE62:AF62"/>
    <mergeCell ref="AG62:AH62"/>
    <mergeCell ref="AJ61:AL61"/>
    <mergeCell ref="AE59:AF59"/>
    <mergeCell ref="AJ63:AL63"/>
    <mergeCell ref="AE72:AF72"/>
    <mergeCell ref="AG71:AH71"/>
    <mergeCell ref="AE69:AF69"/>
    <mergeCell ref="AE70:AF70"/>
    <mergeCell ref="AE71:AF71"/>
    <mergeCell ref="AG72:AH72"/>
    <mergeCell ref="AG70:AH70"/>
    <mergeCell ref="AG67:AH67"/>
    <mergeCell ref="AG68:AH68"/>
    <mergeCell ref="AG69:AH69"/>
    <mergeCell ref="AE67:AF67"/>
    <mergeCell ref="AE68:AF68"/>
    <mergeCell ref="AE64:AF64"/>
    <mergeCell ref="AE66:AF66"/>
  </mergeCells>
  <phoneticPr fontId="0" type="noConversion"/>
  <printOptions horizontalCentered="1" verticalCentered="1"/>
  <pageMargins left="0" right="0" top="0" bottom="0" header="0" footer="0"/>
  <pageSetup paperSize="9" scale="85" orientation="portrait" horizontalDpi="4294967295" verticalDpi="4294967295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DSMT4" shapeId="652887" r:id="rId4">
          <objectPr defaultSize="0" autoPict="0" r:id="rId5">
            <anchor moveWithCells="1" sizeWithCells="1">
              <from>
                <xdr:col>8</xdr:col>
                <xdr:colOff>161925</xdr:colOff>
                <xdr:row>74</xdr:row>
                <xdr:rowOff>247650</xdr:rowOff>
              </from>
              <to>
                <xdr:col>8</xdr:col>
                <xdr:colOff>161925</xdr:colOff>
                <xdr:row>76</xdr:row>
                <xdr:rowOff>9525</xdr:rowOff>
              </to>
            </anchor>
          </objectPr>
        </oleObject>
      </mc:Choice>
      <mc:Fallback>
        <oleObject progId="Equation.DSMT4" shapeId="652887" r:id="rId4"/>
      </mc:Fallback>
    </mc:AlternateContent>
    <mc:AlternateContent xmlns:mc="http://schemas.openxmlformats.org/markup-compatibility/2006">
      <mc:Choice Requires="x14">
        <oleObject progId="Equation.DSMT4" shapeId="652888" r:id="rId6">
          <objectPr defaultSize="0" autoPict="0" r:id="rId7">
            <anchor moveWithCells="1" sizeWithCells="1">
              <from>
                <xdr:col>8</xdr:col>
                <xdr:colOff>161925</xdr:colOff>
                <xdr:row>75</xdr:row>
                <xdr:rowOff>38100</xdr:rowOff>
              </from>
              <to>
                <xdr:col>8</xdr:col>
                <xdr:colOff>161925</xdr:colOff>
                <xdr:row>75</xdr:row>
                <xdr:rowOff>361950</xdr:rowOff>
              </to>
            </anchor>
          </objectPr>
        </oleObject>
      </mc:Choice>
      <mc:Fallback>
        <oleObject progId="Equation.DSMT4" shapeId="652888" r:id="rId6"/>
      </mc:Fallback>
    </mc:AlternateContent>
    <mc:AlternateContent xmlns:mc="http://schemas.openxmlformats.org/markup-compatibility/2006">
      <mc:Choice Requires="x14">
        <oleObject progId="Equation.DSMT4" shapeId="652889" r:id="rId8">
          <objectPr defaultSize="0" autoPict="0" r:id="rId9">
            <anchor moveWithCells="1" sizeWithCells="1">
              <from>
                <xdr:col>8</xdr:col>
                <xdr:colOff>161925</xdr:colOff>
                <xdr:row>75</xdr:row>
                <xdr:rowOff>28575</xdr:rowOff>
              </from>
              <to>
                <xdr:col>8</xdr:col>
                <xdr:colOff>161925</xdr:colOff>
                <xdr:row>75</xdr:row>
                <xdr:rowOff>361950</xdr:rowOff>
              </to>
            </anchor>
          </objectPr>
        </oleObject>
      </mc:Choice>
      <mc:Fallback>
        <oleObject progId="Equation.DSMT4" shapeId="652889" r:id="rId8"/>
      </mc:Fallback>
    </mc:AlternateContent>
    <mc:AlternateContent xmlns:mc="http://schemas.openxmlformats.org/markup-compatibility/2006">
      <mc:Choice Requires="x14">
        <oleObject progId="Equation.DSMT4" shapeId="652890" r:id="rId10">
          <objectPr defaultSize="0" autoPict="0" r:id="rId11">
            <anchor moveWithCells="1" sizeWithCells="1">
              <from>
                <xdr:col>8</xdr:col>
                <xdr:colOff>161925</xdr:colOff>
                <xdr:row>75</xdr:row>
                <xdr:rowOff>57150</xdr:rowOff>
              </from>
              <to>
                <xdr:col>8</xdr:col>
                <xdr:colOff>161925</xdr:colOff>
                <xdr:row>75</xdr:row>
                <xdr:rowOff>352425</xdr:rowOff>
              </to>
            </anchor>
          </objectPr>
        </oleObject>
      </mc:Choice>
      <mc:Fallback>
        <oleObject progId="Equation.DSMT4" shapeId="652890" r:id="rId10"/>
      </mc:Fallback>
    </mc:AlternateContent>
    <mc:AlternateContent xmlns:mc="http://schemas.openxmlformats.org/markup-compatibility/2006">
      <mc:Choice Requires="x14">
        <oleObject progId="Equation.DSMT4" shapeId="652891" r:id="rId12">
          <objectPr defaultSize="0" autoPict="0" r:id="rId13">
            <anchor moveWithCells="1" sizeWithCells="1">
              <from>
                <xdr:col>8</xdr:col>
                <xdr:colOff>161925</xdr:colOff>
                <xdr:row>75</xdr:row>
                <xdr:rowOff>0</xdr:rowOff>
              </from>
              <to>
                <xdr:col>8</xdr:col>
                <xdr:colOff>161925</xdr:colOff>
                <xdr:row>75</xdr:row>
                <xdr:rowOff>342900</xdr:rowOff>
              </to>
            </anchor>
          </objectPr>
        </oleObject>
      </mc:Choice>
      <mc:Fallback>
        <oleObject progId="Equation.DSMT4" shapeId="652891" r:id="rId12"/>
      </mc:Fallback>
    </mc:AlternateContent>
    <mc:AlternateContent xmlns:mc="http://schemas.openxmlformats.org/markup-compatibility/2006">
      <mc:Choice Requires="x14">
        <oleObject progId="Equation.DSMT4" shapeId="652892" r:id="rId14">
          <objectPr defaultSize="0" autoPict="0" r:id="rId15">
            <anchor moveWithCells="1" sizeWithCells="1">
              <from>
                <xdr:col>8</xdr:col>
                <xdr:colOff>161925</xdr:colOff>
                <xdr:row>75</xdr:row>
                <xdr:rowOff>47625</xdr:rowOff>
              </from>
              <to>
                <xdr:col>8</xdr:col>
                <xdr:colOff>161925</xdr:colOff>
                <xdr:row>75</xdr:row>
                <xdr:rowOff>352425</xdr:rowOff>
              </to>
            </anchor>
          </objectPr>
        </oleObject>
      </mc:Choice>
      <mc:Fallback>
        <oleObject progId="Equation.DSMT4" shapeId="652892" r:id="rId14"/>
      </mc:Fallback>
    </mc:AlternateContent>
    <mc:AlternateContent xmlns:mc="http://schemas.openxmlformats.org/markup-compatibility/2006">
      <mc:Choice Requires="x14">
        <oleObject progId="Equation.DSMT4" shapeId="652893" r:id="rId16">
          <objectPr defaultSize="0" autoPict="0" r:id="rId17">
            <anchor moveWithCells="1" sizeWithCells="1">
              <from>
                <xdr:col>8</xdr:col>
                <xdr:colOff>161925</xdr:colOff>
                <xdr:row>75</xdr:row>
                <xdr:rowOff>38100</xdr:rowOff>
              </from>
              <to>
                <xdr:col>8</xdr:col>
                <xdr:colOff>161925</xdr:colOff>
                <xdr:row>75</xdr:row>
                <xdr:rowOff>361950</xdr:rowOff>
              </to>
            </anchor>
          </objectPr>
        </oleObject>
      </mc:Choice>
      <mc:Fallback>
        <oleObject progId="Equation.DSMT4" shapeId="652893" r:id="rId16"/>
      </mc:Fallback>
    </mc:AlternateContent>
    <mc:AlternateContent xmlns:mc="http://schemas.openxmlformats.org/markup-compatibility/2006">
      <mc:Choice Requires="x14">
        <oleObject progId="Equation.DSMT4" shapeId="652894" r:id="rId18">
          <objectPr defaultSize="0" autoPict="0" r:id="rId19">
            <anchor moveWithCells="1" sizeWithCells="1">
              <from>
                <xdr:col>8</xdr:col>
                <xdr:colOff>161925</xdr:colOff>
                <xdr:row>75</xdr:row>
                <xdr:rowOff>19050</xdr:rowOff>
              </from>
              <to>
                <xdr:col>8</xdr:col>
                <xdr:colOff>161925</xdr:colOff>
                <xdr:row>75</xdr:row>
                <xdr:rowOff>295275</xdr:rowOff>
              </to>
            </anchor>
          </objectPr>
        </oleObject>
      </mc:Choice>
      <mc:Fallback>
        <oleObject progId="Equation.DSMT4" shapeId="652894" r:id="rId18"/>
      </mc:Fallback>
    </mc:AlternateContent>
    <mc:AlternateContent xmlns:mc="http://schemas.openxmlformats.org/markup-compatibility/2006">
      <mc:Choice Requires="x14">
        <oleObject progId="Equation.3" shapeId="653053" r:id="rId20">
          <objectPr defaultSize="0" autoPict="0" r:id="rId21">
            <anchor moveWithCells="1" sizeWithCells="1">
              <from>
                <xdr:col>8</xdr:col>
                <xdr:colOff>161925</xdr:colOff>
                <xdr:row>3</xdr:row>
                <xdr:rowOff>47625</xdr:rowOff>
              </from>
              <to>
                <xdr:col>8</xdr:col>
                <xdr:colOff>161925</xdr:colOff>
                <xdr:row>4</xdr:row>
                <xdr:rowOff>190500</xdr:rowOff>
              </to>
            </anchor>
          </objectPr>
        </oleObject>
      </mc:Choice>
      <mc:Fallback>
        <oleObject progId="Equation.3" shapeId="653053" r:id="rId20"/>
      </mc:Fallback>
    </mc:AlternateContent>
    <mc:AlternateContent xmlns:mc="http://schemas.openxmlformats.org/markup-compatibility/2006">
      <mc:Choice Requires="x14">
        <oleObject shapeId="653055" r:id="rId22">
          <objectPr defaultSize="0" autoPict="0" r:id="rId23">
            <anchor moveWithCells="1">
              <from>
                <xdr:col>83</xdr:col>
                <xdr:colOff>190500</xdr:colOff>
                <xdr:row>0</xdr:row>
                <xdr:rowOff>9525</xdr:rowOff>
              </from>
              <to>
                <xdr:col>86</xdr:col>
                <xdr:colOff>190500</xdr:colOff>
                <xdr:row>0</xdr:row>
                <xdr:rowOff>381000</xdr:rowOff>
              </to>
            </anchor>
          </objectPr>
        </oleObject>
      </mc:Choice>
      <mc:Fallback>
        <oleObject shapeId="653055" r:id="rId22"/>
      </mc:Fallback>
    </mc:AlternateContent>
    <mc:AlternateContent xmlns:mc="http://schemas.openxmlformats.org/markup-compatibility/2006">
      <mc:Choice Requires="x14">
        <oleObject progId="Equation.DSMT4" shapeId="854261" r:id="rId24">
          <objectPr defaultSize="0" autoPict="0" r:id="rId5">
            <anchor moveWithCells="1" sizeWithCells="1">
              <from>
                <xdr:col>30</xdr:col>
                <xdr:colOff>152400</xdr:colOff>
                <xdr:row>75</xdr:row>
                <xdr:rowOff>352425</xdr:rowOff>
              </from>
              <to>
                <xdr:col>30</xdr:col>
                <xdr:colOff>676275</xdr:colOff>
                <xdr:row>77</xdr:row>
                <xdr:rowOff>57150</xdr:rowOff>
              </to>
            </anchor>
          </objectPr>
        </oleObject>
      </mc:Choice>
      <mc:Fallback>
        <oleObject progId="Equation.DSMT4" shapeId="854261" r:id="rId24"/>
      </mc:Fallback>
    </mc:AlternateContent>
    <mc:AlternateContent xmlns:mc="http://schemas.openxmlformats.org/markup-compatibility/2006">
      <mc:Choice Requires="x14">
        <oleObject progId="Equation.DSMT4" shapeId="854262" r:id="rId25">
          <objectPr defaultSize="0" autoPict="0" r:id="rId7">
            <anchor moveWithCells="1" sizeWithCells="1">
              <from>
                <xdr:col>31</xdr:col>
                <xdr:colOff>171450</xdr:colOff>
                <xdr:row>76</xdr:row>
                <xdr:rowOff>38100</xdr:rowOff>
              </from>
              <to>
                <xdr:col>31</xdr:col>
                <xdr:colOff>695325</xdr:colOff>
                <xdr:row>76</xdr:row>
                <xdr:rowOff>361950</xdr:rowOff>
              </to>
            </anchor>
          </objectPr>
        </oleObject>
      </mc:Choice>
      <mc:Fallback>
        <oleObject progId="Equation.DSMT4" shapeId="854262" r:id="rId25"/>
      </mc:Fallback>
    </mc:AlternateContent>
    <mc:AlternateContent xmlns:mc="http://schemas.openxmlformats.org/markup-compatibility/2006">
      <mc:Choice Requires="x14">
        <oleObject progId="Equation.DSMT4" shapeId="854263" r:id="rId26">
          <objectPr defaultSize="0" autoPict="0" r:id="rId9">
            <anchor moveWithCells="1" sizeWithCells="1">
              <from>
                <xdr:col>32</xdr:col>
                <xdr:colOff>228600</xdr:colOff>
                <xdr:row>76</xdr:row>
                <xdr:rowOff>28575</xdr:rowOff>
              </from>
              <to>
                <xdr:col>32</xdr:col>
                <xdr:colOff>714375</xdr:colOff>
                <xdr:row>76</xdr:row>
                <xdr:rowOff>361950</xdr:rowOff>
              </to>
            </anchor>
          </objectPr>
        </oleObject>
      </mc:Choice>
      <mc:Fallback>
        <oleObject progId="Equation.DSMT4" shapeId="854263" r:id="rId26"/>
      </mc:Fallback>
    </mc:AlternateContent>
    <mc:AlternateContent xmlns:mc="http://schemas.openxmlformats.org/markup-compatibility/2006">
      <mc:Choice Requires="x14">
        <oleObject progId="Equation.DSMT4" shapeId="854264" r:id="rId27">
          <objectPr defaultSize="0" autoPict="0" r:id="rId11">
            <anchor moveWithCells="1" sizeWithCells="1">
              <from>
                <xdr:col>33</xdr:col>
                <xdr:colOff>190500</xdr:colOff>
                <xdr:row>76</xdr:row>
                <xdr:rowOff>28575</xdr:rowOff>
              </from>
              <to>
                <xdr:col>33</xdr:col>
                <xdr:colOff>676275</xdr:colOff>
                <xdr:row>76</xdr:row>
                <xdr:rowOff>200025</xdr:rowOff>
              </to>
            </anchor>
          </objectPr>
        </oleObject>
      </mc:Choice>
      <mc:Fallback>
        <oleObject progId="Equation.DSMT4" shapeId="854264" r:id="rId27"/>
      </mc:Fallback>
    </mc:AlternateContent>
    <mc:AlternateContent xmlns:mc="http://schemas.openxmlformats.org/markup-compatibility/2006">
      <mc:Choice Requires="x14">
        <oleObject progId="Equation.DSMT4" shapeId="854265" r:id="rId28">
          <objectPr defaultSize="0" autoPict="0" r:id="rId13">
            <anchor moveWithCells="1" sizeWithCells="1">
              <from>
                <xdr:col>34</xdr:col>
                <xdr:colOff>152400</xdr:colOff>
                <xdr:row>76</xdr:row>
                <xdr:rowOff>0</xdr:rowOff>
              </from>
              <to>
                <xdr:col>34</xdr:col>
                <xdr:colOff>781050</xdr:colOff>
                <xdr:row>76</xdr:row>
                <xdr:rowOff>342900</xdr:rowOff>
              </to>
            </anchor>
          </objectPr>
        </oleObject>
      </mc:Choice>
      <mc:Fallback>
        <oleObject progId="Equation.DSMT4" shapeId="854265" r:id="rId28"/>
      </mc:Fallback>
    </mc:AlternateContent>
    <mc:AlternateContent xmlns:mc="http://schemas.openxmlformats.org/markup-compatibility/2006">
      <mc:Choice Requires="x14">
        <oleObject progId="Equation.DSMT4" shapeId="854266" r:id="rId29">
          <objectPr defaultSize="0" autoPict="0" r:id="rId15">
            <anchor moveWithCells="1" sizeWithCells="1">
              <from>
                <xdr:col>35</xdr:col>
                <xdr:colOff>247650</xdr:colOff>
                <xdr:row>76</xdr:row>
                <xdr:rowOff>47625</xdr:rowOff>
              </from>
              <to>
                <xdr:col>35</xdr:col>
                <xdr:colOff>714375</xdr:colOff>
                <xdr:row>76</xdr:row>
                <xdr:rowOff>352425</xdr:rowOff>
              </to>
            </anchor>
          </objectPr>
        </oleObject>
      </mc:Choice>
      <mc:Fallback>
        <oleObject progId="Equation.DSMT4" shapeId="854266" r:id="rId29"/>
      </mc:Fallback>
    </mc:AlternateContent>
    <mc:AlternateContent xmlns:mc="http://schemas.openxmlformats.org/markup-compatibility/2006">
      <mc:Choice Requires="x14">
        <oleObject progId="Equation.DSMT4" shapeId="854267" r:id="rId30">
          <objectPr defaultSize="0" autoPict="0" r:id="rId17">
            <anchor moveWithCells="1" sizeWithCells="1">
              <from>
                <xdr:col>36</xdr:col>
                <xdr:colOff>200025</xdr:colOff>
                <xdr:row>76</xdr:row>
                <xdr:rowOff>38100</xdr:rowOff>
              </from>
              <to>
                <xdr:col>36</xdr:col>
                <xdr:colOff>657225</xdr:colOff>
                <xdr:row>76</xdr:row>
                <xdr:rowOff>361950</xdr:rowOff>
              </to>
            </anchor>
          </objectPr>
        </oleObject>
      </mc:Choice>
      <mc:Fallback>
        <oleObject progId="Equation.DSMT4" shapeId="854267" r:id="rId30"/>
      </mc:Fallback>
    </mc:AlternateContent>
    <mc:AlternateContent xmlns:mc="http://schemas.openxmlformats.org/markup-compatibility/2006">
      <mc:Choice Requires="x14">
        <oleObject progId="Equation.DSMT4" shapeId="854268" r:id="rId31">
          <objectPr defaultSize="0" autoPict="0" r:id="rId19">
            <anchor moveWithCells="1" sizeWithCells="1">
              <from>
                <xdr:col>37</xdr:col>
                <xdr:colOff>200025</xdr:colOff>
                <xdr:row>76</xdr:row>
                <xdr:rowOff>19050</xdr:rowOff>
              </from>
              <to>
                <xdr:col>37</xdr:col>
                <xdr:colOff>762000</xdr:colOff>
                <xdr:row>76</xdr:row>
                <xdr:rowOff>295275</xdr:rowOff>
              </to>
            </anchor>
          </objectPr>
        </oleObject>
      </mc:Choice>
      <mc:Fallback>
        <oleObject progId="Equation.DSMT4" shapeId="854268" r:id="rId31"/>
      </mc:Fallback>
    </mc:AlternateContent>
    <mc:AlternateContent xmlns:mc="http://schemas.openxmlformats.org/markup-compatibility/2006">
      <mc:Choice Requires="x14">
        <oleObject shapeId="854269" r:id="rId32">
          <objectPr defaultSize="0" r:id="rId33">
            <anchor moveWithCells="1">
              <from>
                <xdr:col>39</xdr:col>
                <xdr:colOff>314325</xdr:colOff>
                <xdr:row>76</xdr:row>
                <xdr:rowOff>85725</xdr:rowOff>
              </from>
              <to>
                <xdr:col>39</xdr:col>
                <xdr:colOff>676275</xdr:colOff>
                <xdr:row>76</xdr:row>
                <xdr:rowOff>295275</xdr:rowOff>
              </to>
            </anchor>
          </objectPr>
        </oleObject>
      </mc:Choice>
      <mc:Fallback>
        <oleObject shapeId="854269" r:id="rId32"/>
      </mc:Fallback>
    </mc:AlternateContent>
    <mc:AlternateContent xmlns:mc="http://schemas.openxmlformats.org/markup-compatibility/2006">
      <mc:Choice Requires="x14">
        <oleObject progId="Equation.DSMT4" shapeId="854270" r:id="rId34">
          <objectPr defaultSize="0" r:id="rId35">
            <anchor moveWithCells="1">
              <from>
                <xdr:col>40</xdr:col>
                <xdr:colOff>38100</xdr:colOff>
                <xdr:row>76</xdr:row>
                <xdr:rowOff>57150</xdr:rowOff>
              </from>
              <to>
                <xdr:col>40</xdr:col>
                <xdr:colOff>1000125</xdr:colOff>
                <xdr:row>76</xdr:row>
                <xdr:rowOff>285750</xdr:rowOff>
              </to>
            </anchor>
          </objectPr>
        </oleObject>
      </mc:Choice>
      <mc:Fallback>
        <oleObject progId="Equation.DSMT4" shapeId="854270" r:id="rId3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Normal="100" workbookViewId="0">
      <selection activeCell="B9" sqref="B9"/>
    </sheetView>
  </sheetViews>
  <sheetFormatPr baseColWidth="10" defaultRowHeight="12.75"/>
  <cols>
    <col min="1" max="1" width="18.42578125" customWidth="1"/>
    <col min="2" max="2" width="18.85546875" customWidth="1"/>
    <col min="3" max="3" width="23" customWidth="1"/>
    <col min="5" max="5" width="17.42578125" customWidth="1"/>
    <col min="6" max="6" width="18" customWidth="1"/>
    <col min="7" max="7" width="22.85546875" customWidth="1"/>
  </cols>
  <sheetData>
    <row r="1" spans="1:10">
      <c r="A1" s="1084" t="s">
        <v>276</v>
      </c>
      <c r="B1" s="1084"/>
      <c r="C1" s="1084"/>
      <c r="E1" s="1084" t="s">
        <v>163</v>
      </c>
      <c r="F1" s="1084"/>
      <c r="G1" s="1084"/>
    </row>
    <row r="2" spans="1:10">
      <c r="A2" s="535" t="s">
        <v>275</v>
      </c>
      <c r="B2" s="533" t="s">
        <v>277</v>
      </c>
      <c r="C2" s="535" t="s">
        <v>279</v>
      </c>
      <c r="E2" s="533" t="s">
        <v>275</v>
      </c>
      <c r="F2" s="534" t="s">
        <v>277</v>
      </c>
      <c r="G2" s="533" t="s">
        <v>278</v>
      </c>
      <c r="H2" s="529"/>
    </row>
    <row r="3" spans="1:10">
      <c r="A3" s="524" t="s">
        <v>73</v>
      </c>
      <c r="B3" s="524" t="s">
        <v>73</v>
      </c>
      <c r="C3" s="525" t="s">
        <v>73</v>
      </c>
      <c r="E3" s="524" t="s">
        <v>73</v>
      </c>
      <c r="F3" s="526" t="s">
        <v>73</v>
      </c>
      <c r="G3" s="524" t="s">
        <v>73</v>
      </c>
      <c r="H3" s="529"/>
    </row>
    <row r="4" spans="1:10">
      <c r="A4" s="536">
        <f>+A6+A6</f>
        <v>2000000</v>
      </c>
      <c r="B4" s="524">
        <f>+B6+B6</f>
        <v>-90</v>
      </c>
      <c r="C4" s="524">
        <f>+C6+C6</f>
        <v>33.200000000000003</v>
      </c>
      <c r="E4" s="536">
        <f>+E6+E9</f>
        <v>30000</v>
      </c>
      <c r="F4" s="526">
        <f>+F6+F9</f>
        <v>-2.4E-2</v>
      </c>
      <c r="G4" s="524">
        <f>+G9+G6</f>
        <v>5.1000000000000004E-2</v>
      </c>
    </row>
    <row r="5" spans="1:10">
      <c r="A5" s="536">
        <f>+A6+A10</f>
        <v>1500000</v>
      </c>
      <c r="B5" s="524">
        <f>+B6+B10</f>
        <v>-67.5</v>
      </c>
      <c r="C5" s="524">
        <f>+C6+C10</f>
        <v>24.900000000000002</v>
      </c>
      <c r="E5" s="536">
        <f>+E6+E16</f>
        <v>22500</v>
      </c>
      <c r="F5" s="526">
        <f>+F6+F16</f>
        <v>-2.503E-2</v>
      </c>
      <c r="G5" s="524">
        <f>+G6+G16</f>
        <v>3.8130000000000004E-2</v>
      </c>
    </row>
    <row r="6" spans="1:10">
      <c r="A6" s="536">
        <f>+A10+A10</f>
        <v>1000000</v>
      </c>
      <c r="B6" s="657">
        <f>+B10+B10</f>
        <v>-45</v>
      </c>
      <c r="C6" s="657">
        <f>+C10+C10</f>
        <v>16.600000000000001</v>
      </c>
      <c r="E6" s="536">
        <f>+E9+E9</f>
        <v>20000</v>
      </c>
      <c r="F6" s="526">
        <f>+F9+F9</f>
        <v>-1.6E-2</v>
      </c>
      <c r="G6" s="524">
        <f>+G9+G9</f>
        <v>3.4000000000000002E-2</v>
      </c>
    </row>
    <row r="7" spans="1:10">
      <c r="A7" s="536">
        <f>+A11+A11</f>
        <v>800000</v>
      </c>
      <c r="B7" s="657">
        <f t="shared" ref="B7:C7" si="0">+B11+B11</f>
        <v>-36</v>
      </c>
      <c r="C7" s="657">
        <f t="shared" si="0"/>
        <v>13.280000000000001</v>
      </c>
      <c r="E7" s="536">
        <f>+E9+E12</f>
        <v>15000</v>
      </c>
      <c r="F7" s="526">
        <f>+F9+F12</f>
        <v>-1.03E-2</v>
      </c>
      <c r="G7" s="524">
        <f>+G9+G12</f>
        <v>2.5300000000000003E-2</v>
      </c>
    </row>
    <row r="8" spans="1:10">
      <c r="A8" s="536">
        <f>+A10+A13</f>
        <v>750000</v>
      </c>
      <c r="B8" s="657">
        <f>+B10+B13</f>
        <v>-33.75</v>
      </c>
      <c r="C8" s="657">
        <f>+C10+C13</f>
        <v>12.450000000000001</v>
      </c>
      <c r="E8" s="536">
        <f>+E9+E20</f>
        <v>11250</v>
      </c>
      <c r="F8" s="526">
        <f>+F9+F20</f>
        <v>-8.8500000000000002E-3</v>
      </c>
      <c r="G8" s="528">
        <f>+G9+G20</f>
        <v>1.9130000000000001E-2</v>
      </c>
    </row>
    <row r="9" spans="1:10">
      <c r="A9" s="536">
        <f>+A11+A15</f>
        <v>600000</v>
      </c>
      <c r="B9" s="657">
        <f t="shared" ref="B9:C9" si="1">+B11+B15</f>
        <v>-27</v>
      </c>
      <c r="C9" s="657">
        <f t="shared" si="1"/>
        <v>9.9600000000000009</v>
      </c>
      <c r="E9" s="536">
        <v>10000</v>
      </c>
      <c r="F9" s="524">
        <v>-8.0000000000000002E-3</v>
      </c>
      <c r="G9" s="524">
        <v>1.7000000000000001E-2</v>
      </c>
    </row>
    <row r="10" spans="1:10">
      <c r="A10" s="536">
        <f>+A12+A15</f>
        <v>500000</v>
      </c>
      <c r="B10" s="657">
        <f>+B12+B15</f>
        <v>-22.5</v>
      </c>
      <c r="C10" s="657">
        <f>+C12+C15</f>
        <v>8.3000000000000007</v>
      </c>
      <c r="E10" s="536">
        <f>+E11+E19</f>
        <v>7500</v>
      </c>
      <c r="F10" s="524">
        <f>+F11+F19</f>
        <v>-3.5299999999999997E-3</v>
      </c>
      <c r="G10" s="524">
        <f>+G11+G19</f>
        <v>1.2529999999999999E-2</v>
      </c>
    </row>
    <row r="11" spans="1:10">
      <c r="A11" s="536">
        <f>+A12+A20</f>
        <v>400000</v>
      </c>
      <c r="B11" s="524">
        <f>+B12+B20</f>
        <v>-18</v>
      </c>
      <c r="C11" s="524">
        <f>+C12+C20</f>
        <v>6.6400000000000006</v>
      </c>
      <c r="E11" s="536">
        <f>+E12+E21</f>
        <v>6000</v>
      </c>
      <c r="F11" s="524">
        <f>+F12+F21</f>
        <v>-2.8999999999999998E-3</v>
      </c>
      <c r="G11" s="524">
        <f>+G12+G21</f>
        <v>0.01</v>
      </c>
      <c r="J11" s="530"/>
    </row>
    <row r="12" spans="1:10">
      <c r="A12" s="536">
        <f>+A15+A20</f>
        <v>300000</v>
      </c>
      <c r="B12" s="524">
        <f>+B15+B20</f>
        <v>-13.5</v>
      </c>
      <c r="C12" s="524">
        <f>+C15+C20</f>
        <v>4.9800000000000004</v>
      </c>
      <c r="E12" s="536">
        <v>5000</v>
      </c>
      <c r="F12" s="524">
        <v>-2.3E-3</v>
      </c>
      <c r="G12" s="524">
        <v>8.3000000000000001E-3</v>
      </c>
    </row>
    <row r="13" spans="1:10">
      <c r="A13" s="536">
        <f>+A15+A24</f>
        <v>250000</v>
      </c>
      <c r="B13" s="524">
        <f>+B15+B24</f>
        <v>-11.25</v>
      </c>
      <c r="C13" s="524">
        <f>+C15+C24</f>
        <v>4.1500000000000004</v>
      </c>
      <c r="E13" s="536">
        <f>+E16+E18</f>
        <v>4500</v>
      </c>
      <c r="F13" s="524">
        <f>+F16+F18</f>
        <v>-1.8029999999999997E-2</v>
      </c>
      <c r="G13" s="524">
        <f>+G16+G18</f>
        <v>7.43E-3</v>
      </c>
      <c r="H13" s="531"/>
    </row>
    <row r="14" spans="1:10">
      <c r="A14" s="536">
        <f>+A15+A27</f>
        <v>225000</v>
      </c>
      <c r="B14" s="524">
        <f>+B15+B27</f>
        <v>-10.125999999999999</v>
      </c>
      <c r="C14" s="524">
        <f>+C15+C27</f>
        <v>3.7330000000000005</v>
      </c>
      <c r="E14" s="536">
        <f>+E15+E22</f>
        <v>3750</v>
      </c>
      <c r="F14" s="524">
        <f>+F15+F22</f>
        <v>-9.8799999999999999E-3</v>
      </c>
      <c r="G14" s="528">
        <f>+G15+G22</f>
        <v>6.2700000000000004E-3</v>
      </c>
    </row>
    <row r="15" spans="1:10">
      <c r="A15" s="536">
        <f>+A20+A20</f>
        <v>200000</v>
      </c>
      <c r="B15" s="657">
        <f>+B20+B20</f>
        <v>-9</v>
      </c>
      <c r="C15" s="657">
        <f>+C20+C20</f>
        <v>3.3200000000000003</v>
      </c>
      <c r="E15" s="536">
        <f>+E18+E21</f>
        <v>3000</v>
      </c>
      <c r="F15" s="524">
        <f>+F18+F21</f>
        <v>-9.5999999999999992E-3</v>
      </c>
      <c r="G15" s="524">
        <f>+G18+G21</f>
        <v>5.0000000000000001E-3</v>
      </c>
    </row>
    <row r="16" spans="1:10">
      <c r="A16" s="536">
        <f>+A20+A24</f>
        <v>150000</v>
      </c>
      <c r="B16" s="657">
        <f>+B20+B24</f>
        <v>-6.75</v>
      </c>
      <c r="C16" s="657">
        <f>+C20+C24</f>
        <v>2.4900000000000002</v>
      </c>
      <c r="E16" s="536">
        <f>+E18+E24</f>
        <v>2500</v>
      </c>
      <c r="F16" s="524">
        <f>+F18+F24</f>
        <v>-9.0299999999999998E-3</v>
      </c>
      <c r="G16" s="524">
        <f>+G18+G24</f>
        <v>4.13E-3</v>
      </c>
      <c r="J16" s="531"/>
    </row>
    <row r="17" spans="1:10">
      <c r="A17" s="536">
        <f>+A19+A29</f>
        <v>140000</v>
      </c>
      <c r="B17" s="657">
        <f t="shared" ref="B17:C17" si="2">+B19+B29</f>
        <v>-6.42</v>
      </c>
      <c r="C17" s="657">
        <f t="shared" si="2"/>
        <v>2.3200000000000003</v>
      </c>
      <c r="E17" s="536">
        <f>+E18+E27</f>
        <v>2250</v>
      </c>
      <c r="F17" s="524">
        <f>+F18+F27</f>
        <v>-9.2499999999999995E-3</v>
      </c>
      <c r="G17" s="528">
        <f>+G18+G27</f>
        <v>3.7299999999999998E-3</v>
      </c>
      <c r="J17" s="531"/>
    </row>
    <row r="18" spans="1:10">
      <c r="A18" s="536">
        <f>+A20+A29+A34</f>
        <v>125000</v>
      </c>
      <c r="B18" s="657">
        <f>+B20+B29+B34</f>
        <v>-5.6260000000000003</v>
      </c>
      <c r="C18" s="657">
        <f>+C20+C29+C34</f>
        <v>2.0730000000000004</v>
      </c>
      <c r="E18" s="536">
        <v>2000</v>
      </c>
      <c r="F18" s="524">
        <v>-8.9999999999999993E-3</v>
      </c>
      <c r="G18" s="524">
        <v>3.3E-3</v>
      </c>
    </row>
    <row r="19" spans="1:10">
      <c r="A19" s="536">
        <f>+A20+A29</f>
        <v>120000</v>
      </c>
      <c r="B19" s="657">
        <f t="shared" ref="B19:C19" si="3">+B20+B29</f>
        <v>-5.46</v>
      </c>
      <c r="C19" s="657">
        <f t="shared" si="3"/>
        <v>1.9900000000000002</v>
      </c>
      <c r="E19" s="536">
        <f>+E21+E24</f>
        <v>1500</v>
      </c>
      <c r="F19" s="524">
        <f>+F21+F24</f>
        <v>-6.2999999999999992E-4</v>
      </c>
      <c r="G19" s="524">
        <f>+G21+G24</f>
        <v>2.5300000000000001E-3</v>
      </c>
    </row>
    <row r="20" spans="1:10">
      <c r="A20" s="536">
        <f>+A24+A24</f>
        <v>100000</v>
      </c>
      <c r="B20" s="657">
        <f>+B24+B24</f>
        <v>-4.5</v>
      </c>
      <c r="C20" s="657">
        <f>+C24+C24</f>
        <v>1.6600000000000001</v>
      </c>
      <c r="E20" s="536">
        <f>+E21+E27</f>
        <v>1250</v>
      </c>
      <c r="F20" s="524">
        <f>+F21+F27</f>
        <v>-8.4999999999999995E-4</v>
      </c>
      <c r="G20" s="528">
        <f>+G21+G27</f>
        <v>2.1299999999999999E-3</v>
      </c>
    </row>
    <row r="21" spans="1:10">
      <c r="A21" s="536">
        <f>+A25+A25</f>
        <v>80000</v>
      </c>
      <c r="B21" s="657">
        <f t="shared" ref="B21:C21" si="4">+B25+B25</f>
        <v>-3.84</v>
      </c>
      <c r="C21" s="657">
        <f t="shared" si="4"/>
        <v>1.32</v>
      </c>
      <c r="E21" s="536">
        <v>1000</v>
      </c>
      <c r="F21" s="524">
        <v>-5.9999999999999995E-4</v>
      </c>
      <c r="G21" s="524">
        <v>1.6999999999999999E-3</v>
      </c>
    </row>
    <row r="22" spans="1:10">
      <c r="A22" s="536">
        <f>+A24+A27</f>
        <v>75000</v>
      </c>
      <c r="B22" s="657">
        <f>+B24+B27</f>
        <v>-3.3759999999999999</v>
      </c>
      <c r="C22" s="657">
        <f>+C24+C27</f>
        <v>1.2430000000000001</v>
      </c>
      <c r="E22" s="536">
        <f t="shared" ref="E22:G23" si="5">+E23+E29</f>
        <v>750</v>
      </c>
      <c r="F22" s="524">
        <f t="shared" si="5"/>
        <v>-2.8000000000000003E-4</v>
      </c>
      <c r="G22" s="528">
        <f t="shared" si="5"/>
        <v>1.2700000000000001E-3</v>
      </c>
    </row>
    <row r="23" spans="1:10">
      <c r="A23" s="536">
        <f>+A24+A32</f>
        <v>60000</v>
      </c>
      <c r="B23" s="657">
        <f t="shared" ref="B23:C23" si="6">+B24+B32</f>
        <v>-2.58</v>
      </c>
      <c r="C23" s="658">
        <f t="shared" si="6"/>
        <v>1</v>
      </c>
      <c r="E23" s="536">
        <f t="shared" si="5"/>
        <v>600</v>
      </c>
      <c r="F23" s="524">
        <f t="shared" si="5"/>
        <v>-1.1E-4</v>
      </c>
      <c r="G23" s="524">
        <f t="shared" si="5"/>
        <v>1E-3</v>
      </c>
    </row>
    <row r="24" spans="1:10">
      <c r="A24" s="536">
        <f>+A26+A29</f>
        <v>50000</v>
      </c>
      <c r="B24" s="657">
        <f>+B26+B29</f>
        <v>-2.25</v>
      </c>
      <c r="C24" s="657">
        <f>+C26+C29</f>
        <v>0.83000000000000007</v>
      </c>
      <c r="E24" s="536">
        <v>500</v>
      </c>
      <c r="F24" s="524">
        <v>-3.0000000000000001E-5</v>
      </c>
      <c r="G24" s="524">
        <v>8.3000000000000001E-4</v>
      </c>
    </row>
    <row r="25" spans="1:10">
      <c r="A25" s="536">
        <f>A29+A29</f>
        <v>40000</v>
      </c>
      <c r="B25" s="657">
        <f>B29+B29</f>
        <v>-1.92</v>
      </c>
      <c r="C25" s="657">
        <f>C29+C29</f>
        <v>0.66</v>
      </c>
      <c r="E25" s="536">
        <f>+E28+E33+E28</f>
        <v>450</v>
      </c>
      <c r="F25" s="524">
        <f>+F28+F33+F28</f>
        <v>-4.0999999999999999E-4</v>
      </c>
      <c r="G25" s="528">
        <f>+G28+G33+G28</f>
        <v>7.6000000000000004E-4</v>
      </c>
    </row>
    <row r="26" spans="1:10">
      <c r="A26" s="536">
        <f>+A29+A32</f>
        <v>30000</v>
      </c>
      <c r="B26" s="657">
        <f>+B29+B32</f>
        <v>-1.29</v>
      </c>
      <c r="C26" s="657">
        <f>+C29+C32</f>
        <v>0.5</v>
      </c>
      <c r="E26" s="536">
        <f>+E28+E30</f>
        <v>300</v>
      </c>
      <c r="F26" s="524">
        <f>+F28+F30</f>
        <v>-2.4000000000000003E-4</v>
      </c>
      <c r="G26" s="528">
        <f>+G28+G30</f>
        <v>5.0000000000000001E-4</v>
      </c>
    </row>
    <row r="27" spans="1:10">
      <c r="A27" s="536">
        <f>+A29+A34</f>
        <v>25000</v>
      </c>
      <c r="B27" s="657">
        <f>+B29+B34</f>
        <v>-1.1259999999999999</v>
      </c>
      <c r="C27" s="657">
        <f>+C29+C34</f>
        <v>0.41300000000000003</v>
      </c>
      <c r="E27" s="536">
        <f>+E28+E33</f>
        <v>250</v>
      </c>
      <c r="F27" s="524">
        <f>+F28+F33</f>
        <v>-2.5000000000000001E-4</v>
      </c>
      <c r="G27" s="528">
        <f>+G28+G33</f>
        <v>4.2999999999999999E-4</v>
      </c>
    </row>
    <row r="28" spans="1:10">
      <c r="A28" s="536">
        <f>+A29+A36</f>
        <v>22500</v>
      </c>
      <c r="B28" s="657">
        <f>+B29+B36</f>
        <v>-0.96802999999999995</v>
      </c>
      <c r="C28" s="657">
        <f>+C29+C36</f>
        <v>0.36382999999999999</v>
      </c>
      <c r="E28" s="536">
        <v>200</v>
      </c>
      <c r="F28" s="524">
        <v>-1.6000000000000001E-4</v>
      </c>
      <c r="G28" s="524">
        <v>3.3E-4</v>
      </c>
    </row>
    <row r="29" spans="1:10">
      <c r="A29" s="536">
        <v>20000</v>
      </c>
      <c r="B29" s="657">
        <v>-0.96</v>
      </c>
      <c r="C29" s="657">
        <v>0.33</v>
      </c>
      <c r="E29" s="536">
        <f>+E30+E33</f>
        <v>150</v>
      </c>
      <c r="F29" s="524">
        <f>+F30+F33</f>
        <v>-1.7000000000000001E-4</v>
      </c>
      <c r="G29" s="528">
        <f>+G30+G33</f>
        <v>2.7E-4</v>
      </c>
    </row>
    <row r="30" spans="1:10">
      <c r="A30" s="536">
        <f>+A32+A34</f>
        <v>15000</v>
      </c>
      <c r="B30" s="657">
        <f>+B32+B34</f>
        <v>-0.496</v>
      </c>
      <c r="C30" s="657">
        <f>+C32+C34</f>
        <v>0.253</v>
      </c>
      <c r="E30" s="536">
        <v>100</v>
      </c>
      <c r="F30" s="524">
        <v>-8.0000000000000007E-5</v>
      </c>
      <c r="G30" s="524">
        <v>1.7000000000000001E-4</v>
      </c>
    </row>
    <row r="31" spans="1:10">
      <c r="A31" s="536">
        <f>+A32+A36</f>
        <v>12500</v>
      </c>
      <c r="B31" s="657">
        <f>+B32+B36</f>
        <v>-0.33803</v>
      </c>
      <c r="C31" s="657">
        <f>+C32+C36</f>
        <v>0.20383000000000001</v>
      </c>
      <c r="E31" s="536">
        <f>+E33+E36</f>
        <v>75</v>
      </c>
      <c r="F31" s="527">
        <f>+F33+F36</f>
        <v>-1.5700000000000002E-4</v>
      </c>
      <c r="G31" s="528">
        <f>+G33+G36</f>
        <v>2.3599999999999999E-4</v>
      </c>
    </row>
    <row r="32" spans="1:10">
      <c r="A32" s="536">
        <v>10000</v>
      </c>
      <c r="B32" s="524">
        <v>-0.33</v>
      </c>
      <c r="C32" s="524">
        <v>0.17</v>
      </c>
      <c r="E32" s="536">
        <f>+E33+E39</f>
        <v>60</v>
      </c>
      <c r="F32" s="527">
        <f>+F33+F39</f>
        <v>-1E-4</v>
      </c>
      <c r="G32" s="528">
        <f>+G33+G39</f>
        <v>1.6699999999999999E-4</v>
      </c>
    </row>
    <row r="33" spans="1:7">
      <c r="A33" s="536">
        <f>+A34+A36</f>
        <v>7500</v>
      </c>
      <c r="B33" s="524">
        <f>+B34+B36</f>
        <v>-0.17403000000000002</v>
      </c>
      <c r="C33" s="524">
        <f>+C34+C36</f>
        <v>0.11683</v>
      </c>
      <c r="E33" s="536">
        <v>50</v>
      </c>
      <c r="F33" s="524">
        <v>-9.0000000000000006E-5</v>
      </c>
      <c r="G33" s="528">
        <v>1E-4</v>
      </c>
    </row>
    <row r="34" spans="1:7">
      <c r="A34" s="536">
        <v>5000</v>
      </c>
      <c r="B34" s="524">
        <v>-0.16600000000000001</v>
      </c>
      <c r="C34" s="524">
        <v>8.3000000000000004E-2</v>
      </c>
      <c r="E34" s="536">
        <v>38</v>
      </c>
      <c r="F34" s="527">
        <f>+F35+F40+F41+F42</f>
        <v>-1.07E-4</v>
      </c>
      <c r="G34" s="528">
        <f>+G35+G40+G41+G42</f>
        <v>2.7599999999999999E-4</v>
      </c>
    </row>
    <row r="35" spans="1:7">
      <c r="A35" s="536">
        <f>+A37+A39</f>
        <v>3000</v>
      </c>
      <c r="B35" s="524">
        <f>+B37+B39</f>
        <v>-8.6E-3</v>
      </c>
      <c r="C35" s="524">
        <f>+C37+C39</f>
        <v>3.4700000000000002E-2</v>
      </c>
      <c r="E35" s="536">
        <f>+E37+E39</f>
        <v>30</v>
      </c>
      <c r="F35" s="527">
        <f>+F37+F39</f>
        <v>-7.2000000000000002E-5</v>
      </c>
      <c r="G35" s="528">
        <f>+G37+G39</f>
        <v>1.5000000000000001E-4</v>
      </c>
    </row>
    <row r="36" spans="1:7">
      <c r="A36" s="536">
        <f>+A37+A40</f>
        <v>2500</v>
      </c>
      <c r="B36" s="524">
        <f>+B37+B40</f>
        <v>-8.0300000000000007E-3</v>
      </c>
      <c r="C36" s="524">
        <f>+C37+C40</f>
        <v>3.3829999999999999E-2</v>
      </c>
      <c r="E36" s="536">
        <f>+E37+E40</f>
        <v>25</v>
      </c>
      <c r="F36" s="527">
        <f>+F37+F40</f>
        <v>-6.7000000000000002E-5</v>
      </c>
      <c r="G36" s="528">
        <f>+G37+G40</f>
        <v>1.36E-4</v>
      </c>
    </row>
    <row r="37" spans="1:7">
      <c r="A37" s="536">
        <v>2000</v>
      </c>
      <c r="B37" s="524">
        <v>-8.0000000000000002E-3</v>
      </c>
      <c r="C37" s="524">
        <v>3.3000000000000002E-2</v>
      </c>
      <c r="E37" s="536">
        <v>20</v>
      </c>
      <c r="F37" s="524">
        <v>-6.2000000000000003E-5</v>
      </c>
      <c r="G37" s="524">
        <v>8.2999999999999998E-5</v>
      </c>
    </row>
    <row r="38" spans="1:7">
      <c r="A38" s="536">
        <f>+A39+A40</f>
        <v>1500</v>
      </c>
      <c r="B38" s="524">
        <f>+B39+B40</f>
        <v>-6.2999999999999992E-4</v>
      </c>
      <c r="C38" s="524">
        <f>+C39+C40</f>
        <v>2.5300000000000001E-3</v>
      </c>
      <c r="E38" s="536">
        <v>13</v>
      </c>
      <c r="F38" s="527">
        <f>+F39+F41+F42</f>
        <v>-3.9999999999999996E-5</v>
      </c>
      <c r="G38" s="527">
        <f>+G39+G41+G42</f>
        <v>1.3999999999999999E-4</v>
      </c>
    </row>
    <row r="39" spans="1:7">
      <c r="A39" s="536">
        <v>1000</v>
      </c>
      <c r="B39" s="524">
        <v>-5.9999999999999995E-4</v>
      </c>
      <c r="C39" s="524">
        <v>1.6999999999999999E-3</v>
      </c>
      <c r="E39" s="536">
        <v>10</v>
      </c>
      <c r="F39" s="527">
        <v>-1.0000000000000001E-5</v>
      </c>
      <c r="G39" s="524">
        <v>6.7000000000000002E-5</v>
      </c>
    </row>
    <row r="40" spans="1:7">
      <c r="A40" s="536">
        <v>500</v>
      </c>
      <c r="B40" s="524">
        <v>-3.0000000000000001E-5</v>
      </c>
      <c r="C40" s="524">
        <v>8.3000000000000001E-4</v>
      </c>
      <c r="E40" s="536">
        <v>5</v>
      </c>
      <c r="F40" s="524">
        <v>-5.0000000000000004E-6</v>
      </c>
      <c r="G40" s="524">
        <v>5.3000000000000001E-5</v>
      </c>
    </row>
    <row r="41" spans="1:7">
      <c r="E41" s="536">
        <v>2</v>
      </c>
      <c r="F41" s="524">
        <v>-1.4E-5</v>
      </c>
      <c r="G41" s="527">
        <v>4.0000000000000003E-5</v>
      </c>
    </row>
    <row r="42" spans="1:7">
      <c r="E42" s="536">
        <v>1</v>
      </c>
      <c r="F42" s="524">
        <v>-1.5999999999999999E-5</v>
      </c>
      <c r="G42" s="524">
        <v>3.3000000000000003E-5</v>
      </c>
    </row>
  </sheetData>
  <sheetProtection algorithmName="SHA-512" hashValue="MFYxYKiBB+4Ah4dFw3AhGyuzP1Q23XHTCtkcfKhID7p/HUQDVVCw8dqRFZDGaJ+ihAIcyk1PU3sEXcBYYM6low==" saltValue="C+KAnz+ewFQPqA1u9aoSbA==" spinCount="100000" sheet="1" objects="1" scenarios="1"/>
  <mergeCells count="2">
    <mergeCell ref="A1:C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3"/>
  <sheetViews>
    <sheetView zoomScale="80" zoomScaleNormal="80" workbookViewId="0">
      <selection activeCell="B7" sqref="B7"/>
    </sheetView>
  </sheetViews>
  <sheetFormatPr baseColWidth="10" defaultRowHeight="12.75"/>
  <cols>
    <col min="1" max="1" width="11.42578125" customWidth="1"/>
    <col min="3" max="9" width="11.42578125" style="381"/>
    <col min="10" max="10" width="13.85546875" customWidth="1"/>
    <col min="13" max="13" width="11.42578125" customWidth="1"/>
    <col min="20" max="20" width="11" customWidth="1"/>
  </cols>
  <sheetData>
    <row r="1" spans="1:20" ht="25.5">
      <c r="A1" s="556" t="s">
        <v>118</v>
      </c>
      <c r="B1" s="556" t="s">
        <v>281</v>
      </c>
      <c r="C1" s="557" t="s">
        <v>119</v>
      </c>
      <c r="D1" s="555" t="s">
        <v>120</v>
      </c>
      <c r="E1" s="557" t="s">
        <v>121</v>
      </c>
      <c r="F1" s="557" t="s">
        <v>122</v>
      </c>
      <c r="G1" s="555" t="s">
        <v>123</v>
      </c>
      <c r="H1" s="614" t="s">
        <v>124</v>
      </c>
      <c r="I1" s="563" t="s">
        <v>125</v>
      </c>
      <c r="J1" s="612" t="s">
        <v>148</v>
      </c>
      <c r="K1" s="620" t="str">
        <f>A1</f>
        <v>VALOR NOMINAL</v>
      </c>
      <c r="L1" s="621" t="str">
        <f>+B1</f>
        <v>Valor en g</v>
      </c>
      <c r="M1" s="621" t="str">
        <f t="shared" ref="M1:S1" si="0">C1</f>
        <v>Clase E1</v>
      </c>
      <c r="N1" s="621" t="str">
        <f t="shared" si="0"/>
        <v>Clase E2</v>
      </c>
      <c r="O1" s="621" t="str">
        <f t="shared" si="0"/>
        <v>Clase F1</v>
      </c>
      <c r="P1" s="621" t="str">
        <f t="shared" si="0"/>
        <v>Clase F2</v>
      </c>
      <c r="Q1" s="621" t="str">
        <f t="shared" si="0"/>
        <v>Clase M1</v>
      </c>
      <c r="R1" s="621" t="str">
        <f t="shared" si="0"/>
        <v>Clase M2</v>
      </c>
      <c r="S1" s="621" t="str">
        <f t="shared" si="0"/>
        <v>Clase M3</v>
      </c>
      <c r="T1" s="622" t="s">
        <v>149</v>
      </c>
    </row>
    <row r="2" spans="1:20">
      <c r="A2" s="558" t="s">
        <v>319</v>
      </c>
      <c r="B2" s="558">
        <f>+B4+B4</f>
        <v>2000000</v>
      </c>
      <c r="C2" s="563"/>
      <c r="D2" s="563"/>
      <c r="E2" s="563"/>
      <c r="F2" s="563"/>
      <c r="G2" s="559">
        <f>+G4+G4</f>
        <v>100000</v>
      </c>
      <c r="H2" s="615"/>
      <c r="I2" s="563"/>
      <c r="J2" s="612"/>
      <c r="K2" s="623" t="str">
        <f>+A2</f>
        <v>2 T</v>
      </c>
      <c r="L2" s="617">
        <f>+B2</f>
        <v>2000000</v>
      </c>
      <c r="M2" s="617"/>
      <c r="N2" s="617"/>
      <c r="O2" s="617"/>
      <c r="P2" s="617"/>
      <c r="Q2" s="560">
        <f>+G2/1000</f>
        <v>100</v>
      </c>
      <c r="R2" s="617"/>
      <c r="S2" s="617"/>
      <c r="T2" s="624"/>
    </row>
    <row r="3" spans="1:20">
      <c r="A3" s="558" t="s">
        <v>318</v>
      </c>
      <c r="B3" s="558">
        <f>+B4+B8</f>
        <v>1500000</v>
      </c>
      <c r="C3" s="665"/>
      <c r="D3" s="665"/>
      <c r="E3" s="665"/>
      <c r="F3" s="665"/>
      <c r="G3" s="654">
        <f>+G4+G8</f>
        <v>75000</v>
      </c>
      <c r="H3" s="615"/>
      <c r="I3" s="563"/>
      <c r="J3" s="612"/>
      <c r="K3" s="623" t="str">
        <f t="shared" ref="K3:K21" si="1">+A3</f>
        <v>1.5 T</v>
      </c>
      <c r="L3" s="617">
        <f t="shared" ref="L3:L59" si="2">+B3</f>
        <v>1500000</v>
      </c>
      <c r="M3" s="617"/>
      <c r="N3" s="617"/>
      <c r="O3" s="617"/>
      <c r="P3" s="617"/>
      <c r="Q3" s="560">
        <f>+G3/1000</f>
        <v>75</v>
      </c>
      <c r="R3" s="617"/>
      <c r="S3" s="617"/>
      <c r="T3" s="624"/>
    </row>
    <row r="4" spans="1:20">
      <c r="A4" s="558" t="s">
        <v>317</v>
      </c>
      <c r="B4" s="558">
        <f>+B8+B8</f>
        <v>1000000</v>
      </c>
      <c r="C4" s="665"/>
      <c r="D4" s="665"/>
      <c r="E4" s="665"/>
      <c r="F4" s="665"/>
      <c r="G4" s="654">
        <f>+G8+G8</f>
        <v>50000</v>
      </c>
      <c r="H4" s="615"/>
      <c r="I4" s="563"/>
      <c r="J4" s="612"/>
      <c r="K4" s="623" t="str">
        <f t="shared" si="1"/>
        <v>1 T</v>
      </c>
      <c r="L4" s="617">
        <f t="shared" si="2"/>
        <v>1000000</v>
      </c>
      <c r="M4" s="617"/>
      <c r="N4" s="617"/>
      <c r="O4" s="617"/>
      <c r="P4" s="617"/>
      <c r="Q4" s="560">
        <f t="shared" ref="Q4:Q59" si="3">+G4/1000</f>
        <v>50</v>
      </c>
      <c r="R4" s="617"/>
      <c r="S4" s="617"/>
      <c r="T4" s="624"/>
    </row>
    <row r="5" spans="1:20">
      <c r="A5" s="558" t="s">
        <v>352</v>
      </c>
      <c r="B5" s="558">
        <f>+B9+B9</f>
        <v>800000</v>
      </c>
      <c r="C5" s="661"/>
      <c r="D5" s="661"/>
      <c r="E5" s="661"/>
      <c r="F5" s="661"/>
      <c r="G5" s="661">
        <f>+G9+G9</f>
        <v>40000</v>
      </c>
      <c r="H5" s="615"/>
      <c r="I5" s="563"/>
      <c r="J5" s="612"/>
      <c r="K5" s="623"/>
      <c r="L5" s="617"/>
      <c r="M5" s="617"/>
      <c r="N5" s="617"/>
      <c r="O5" s="617"/>
      <c r="P5" s="617"/>
      <c r="Q5" s="560"/>
      <c r="R5" s="617"/>
      <c r="S5" s="617"/>
      <c r="T5" s="624"/>
    </row>
    <row r="6" spans="1:20" s="604" customFormat="1">
      <c r="A6" s="558" t="s">
        <v>316</v>
      </c>
      <c r="B6" s="558">
        <f>+B8+B11</f>
        <v>750000</v>
      </c>
      <c r="C6" s="654"/>
      <c r="D6" s="654"/>
      <c r="E6" s="654"/>
      <c r="F6" s="654"/>
      <c r="G6" s="654">
        <f>+G8+G11</f>
        <v>37500</v>
      </c>
      <c r="H6" s="616"/>
      <c r="I6" s="559"/>
      <c r="J6" s="612"/>
      <c r="K6" s="623" t="str">
        <f t="shared" si="1"/>
        <v>750 kg</v>
      </c>
      <c r="L6" s="617">
        <f t="shared" si="2"/>
        <v>750000</v>
      </c>
      <c r="M6" s="560"/>
      <c r="N6" s="560"/>
      <c r="O6" s="560"/>
      <c r="P6" s="560"/>
      <c r="Q6" s="560">
        <f t="shared" si="3"/>
        <v>37.5</v>
      </c>
      <c r="R6" s="560"/>
      <c r="S6" s="560"/>
      <c r="T6" s="624"/>
    </row>
    <row r="7" spans="1:20" s="604" customFormat="1">
      <c r="A7" s="558" t="s">
        <v>353</v>
      </c>
      <c r="B7" s="558">
        <f>+B9+B13</f>
        <v>600000</v>
      </c>
      <c r="C7" s="661"/>
      <c r="D7" s="661"/>
      <c r="E7" s="661"/>
      <c r="F7" s="661"/>
      <c r="G7" s="661">
        <f t="shared" ref="G7" si="4">+G9+G13</f>
        <v>30000</v>
      </c>
      <c r="H7" s="616"/>
      <c r="I7" s="559"/>
      <c r="J7" s="612"/>
      <c r="K7" s="623" t="str">
        <f t="shared" si="1"/>
        <v xml:space="preserve">600 kg  </v>
      </c>
      <c r="L7" s="617"/>
      <c r="M7" s="560"/>
      <c r="N7" s="560"/>
      <c r="O7" s="560"/>
      <c r="P7" s="560"/>
      <c r="Q7" s="560"/>
      <c r="R7" s="560"/>
      <c r="S7" s="560"/>
      <c r="T7" s="624"/>
    </row>
    <row r="8" spans="1:20" s="604" customFormat="1">
      <c r="A8" s="558" t="s">
        <v>315</v>
      </c>
      <c r="B8" s="558">
        <f>+B10+B13</f>
        <v>500000</v>
      </c>
      <c r="C8" s="654"/>
      <c r="D8" s="654"/>
      <c r="E8" s="654"/>
      <c r="F8" s="654"/>
      <c r="G8" s="654">
        <f>+G10+G13</f>
        <v>25000</v>
      </c>
      <c r="H8" s="616"/>
      <c r="I8" s="559"/>
      <c r="J8" s="612"/>
      <c r="K8" s="623" t="str">
        <f t="shared" si="1"/>
        <v xml:space="preserve">500 kg </v>
      </c>
      <c r="L8" s="617">
        <f t="shared" si="2"/>
        <v>500000</v>
      </c>
      <c r="M8" s="560"/>
      <c r="N8" s="560"/>
      <c r="O8" s="560"/>
      <c r="P8" s="560"/>
      <c r="Q8" s="560">
        <f t="shared" si="3"/>
        <v>25</v>
      </c>
      <c r="R8" s="560"/>
      <c r="S8" s="560"/>
      <c r="T8" s="624"/>
    </row>
    <row r="9" spans="1:20" s="604" customFormat="1">
      <c r="A9" s="558" t="s">
        <v>346</v>
      </c>
      <c r="B9" s="558">
        <f>+B10+B18</f>
        <v>400000</v>
      </c>
      <c r="C9" s="654"/>
      <c r="D9" s="654"/>
      <c r="E9" s="654"/>
      <c r="F9" s="654"/>
      <c r="G9" s="654">
        <f>+G10+G18</f>
        <v>20000</v>
      </c>
      <c r="H9" s="616"/>
      <c r="I9" s="559"/>
      <c r="J9" s="612"/>
      <c r="K9" s="623" t="str">
        <f t="shared" si="1"/>
        <v>400 kg</v>
      </c>
      <c r="L9" s="617">
        <f t="shared" si="2"/>
        <v>400000</v>
      </c>
      <c r="M9" s="560"/>
      <c r="N9" s="560"/>
      <c r="O9" s="560"/>
      <c r="P9" s="560"/>
      <c r="Q9" s="560">
        <f t="shared" si="3"/>
        <v>20</v>
      </c>
      <c r="R9" s="560"/>
      <c r="S9" s="560"/>
      <c r="T9" s="624"/>
    </row>
    <row r="10" spans="1:20" s="604" customFormat="1">
      <c r="A10" s="558" t="s">
        <v>314</v>
      </c>
      <c r="B10" s="558">
        <f>+B13+B18</f>
        <v>300000</v>
      </c>
      <c r="C10" s="654"/>
      <c r="D10" s="654"/>
      <c r="E10" s="654"/>
      <c r="F10" s="654"/>
      <c r="G10" s="654">
        <f>+G13+G18</f>
        <v>15000</v>
      </c>
      <c r="H10" s="616"/>
      <c r="I10" s="559"/>
      <c r="J10" s="612"/>
      <c r="K10" s="623" t="str">
        <f t="shared" si="1"/>
        <v xml:space="preserve">300 kg </v>
      </c>
      <c r="L10" s="617">
        <f t="shared" si="2"/>
        <v>300000</v>
      </c>
      <c r="M10" s="560"/>
      <c r="N10" s="560"/>
      <c r="O10" s="560"/>
      <c r="P10" s="560"/>
      <c r="Q10" s="560">
        <f t="shared" si="3"/>
        <v>15</v>
      </c>
      <c r="R10" s="560"/>
      <c r="S10" s="560"/>
      <c r="T10" s="624"/>
    </row>
    <row r="11" spans="1:20" s="604" customFormat="1">
      <c r="A11" s="558" t="s">
        <v>313</v>
      </c>
      <c r="B11" s="558">
        <f>+B13+B22</f>
        <v>250000</v>
      </c>
      <c r="C11" s="559"/>
      <c r="D11" s="559"/>
      <c r="E11" s="559"/>
      <c r="F11" s="559"/>
      <c r="G11" s="559">
        <f>+G13+G22</f>
        <v>12500</v>
      </c>
      <c r="H11" s="616"/>
      <c r="I11" s="559"/>
      <c r="J11" s="612"/>
      <c r="K11" s="623" t="str">
        <f t="shared" si="1"/>
        <v>250 kg</v>
      </c>
      <c r="L11" s="617">
        <f t="shared" si="2"/>
        <v>250000</v>
      </c>
      <c r="M11" s="560"/>
      <c r="N11" s="560"/>
      <c r="O11" s="560"/>
      <c r="P11" s="560"/>
      <c r="Q11" s="560">
        <f t="shared" si="3"/>
        <v>12.5</v>
      </c>
      <c r="R11" s="560"/>
      <c r="S11" s="560"/>
      <c r="T11" s="624"/>
    </row>
    <row r="12" spans="1:20" s="604" customFormat="1">
      <c r="A12" s="558" t="s">
        <v>312</v>
      </c>
      <c r="B12" s="558">
        <f>+B13+B25</f>
        <v>225000</v>
      </c>
      <c r="C12" s="654"/>
      <c r="D12" s="654"/>
      <c r="E12" s="654"/>
      <c r="F12" s="654"/>
      <c r="G12" s="654">
        <f>+G13+G25</f>
        <v>11250</v>
      </c>
      <c r="H12" s="616"/>
      <c r="I12" s="559"/>
      <c r="J12" s="612"/>
      <c r="K12" s="623" t="str">
        <f t="shared" si="1"/>
        <v>225 kg</v>
      </c>
      <c r="L12" s="617">
        <f t="shared" si="2"/>
        <v>225000</v>
      </c>
      <c r="M12" s="560"/>
      <c r="N12" s="560"/>
      <c r="O12" s="560"/>
      <c r="P12" s="560"/>
      <c r="Q12" s="560">
        <f t="shared" si="3"/>
        <v>11.25</v>
      </c>
      <c r="R12" s="560"/>
      <c r="S12" s="560"/>
      <c r="T12" s="624"/>
    </row>
    <row r="13" spans="1:20" s="604" customFormat="1">
      <c r="A13" s="558" t="s">
        <v>311</v>
      </c>
      <c r="B13" s="558">
        <f>+B18+B18</f>
        <v>200000</v>
      </c>
      <c r="C13" s="654"/>
      <c r="D13" s="654"/>
      <c r="E13" s="654"/>
      <c r="F13" s="654"/>
      <c r="G13" s="654">
        <f>+G18+G18</f>
        <v>10000</v>
      </c>
      <c r="H13" s="616"/>
      <c r="I13" s="559"/>
      <c r="J13" s="612"/>
      <c r="K13" s="623" t="str">
        <f t="shared" si="1"/>
        <v xml:space="preserve">200 kg </v>
      </c>
      <c r="L13" s="617">
        <f t="shared" si="2"/>
        <v>200000</v>
      </c>
      <c r="M13" s="560"/>
      <c r="N13" s="560"/>
      <c r="O13" s="560"/>
      <c r="P13" s="560"/>
      <c r="Q13" s="560">
        <f t="shared" si="3"/>
        <v>10</v>
      </c>
      <c r="R13" s="560"/>
      <c r="S13" s="560"/>
      <c r="T13" s="624"/>
    </row>
    <row r="14" spans="1:20" s="604" customFormat="1">
      <c r="A14" s="558" t="s">
        <v>310</v>
      </c>
      <c r="B14" s="558">
        <f>+B18+B22</f>
        <v>150000</v>
      </c>
      <c r="C14" s="654"/>
      <c r="D14" s="654"/>
      <c r="E14" s="654"/>
      <c r="F14" s="654"/>
      <c r="G14" s="654">
        <f>+G18+G22</f>
        <v>7500</v>
      </c>
      <c r="H14" s="616"/>
      <c r="I14" s="559"/>
      <c r="J14" s="612"/>
      <c r="K14" s="623" t="str">
        <f t="shared" si="1"/>
        <v>150 kg</v>
      </c>
      <c r="L14" s="617">
        <f t="shared" si="2"/>
        <v>150000</v>
      </c>
      <c r="M14" s="560"/>
      <c r="N14" s="560"/>
      <c r="O14" s="560"/>
      <c r="P14" s="560"/>
      <c r="Q14" s="560">
        <f t="shared" si="3"/>
        <v>7.5</v>
      </c>
      <c r="R14" s="560"/>
      <c r="S14" s="560"/>
      <c r="T14" s="624"/>
    </row>
    <row r="15" spans="1:20" s="604" customFormat="1">
      <c r="A15" s="558" t="s">
        <v>351</v>
      </c>
      <c r="B15" s="558">
        <f>+B17+B27</f>
        <v>140000</v>
      </c>
      <c r="C15" s="661">
        <f t="shared" ref="C15:G15" si="5">+C17+C27</f>
        <v>20</v>
      </c>
      <c r="D15" s="661">
        <f t="shared" si="5"/>
        <v>60</v>
      </c>
      <c r="E15" s="661">
        <f t="shared" si="5"/>
        <v>200</v>
      </c>
      <c r="F15" s="661">
        <f t="shared" si="5"/>
        <v>600</v>
      </c>
      <c r="G15" s="661">
        <f t="shared" si="5"/>
        <v>7000</v>
      </c>
      <c r="H15" s="616"/>
      <c r="I15" s="559"/>
      <c r="J15" s="612"/>
      <c r="K15" s="623" t="str">
        <f t="shared" si="1"/>
        <v>140 kg</v>
      </c>
      <c r="L15" s="617"/>
      <c r="M15" s="560"/>
      <c r="N15" s="560"/>
      <c r="O15" s="560"/>
      <c r="P15" s="560"/>
      <c r="Q15" s="560"/>
      <c r="R15" s="560"/>
      <c r="S15" s="560"/>
      <c r="T15" s="624"/>
    </row>
    <row r="16" spans="1:20" s="604" customFormat="1">
      <c r="A16" s="558" t="s">
        <v>309</v>
      </c>
      <c r="B16" s="558">
        <f>+B18+B25</f>
        <v>125000</v>
      </c>
      <c r="C16" s="654"/>
      <c r="D16" s="654"/>
      <c r="E16" s="654"/>
      <c r="F16" s="654"/>
      <c r="G16" s="654">
        <f>+G18+G25</f>
        <v>6250</v>
      </c>
      <c r="H16" s="616"/>
      <c r="I16" s="559"/>
      <c r="J16" s="612"/>
      <c r="K16" s="623" t="str">
        <f t="shared" si="1"/>
        <v>125 kg</v>
      </c>
      <c r="L16" s="617">
        <f t="shared" si="2"/>
        <v>125000</v>
      </c>
      <c r="M16" s="560"/>
      <c r="N16" s="560"/>
      <c r="O16" s="560"/>
      <c r="P16" s="560"/>
      <c r="Q16" s="560">
        <f t="shared" si="3"/>
        <v>6.25</v>
      </c>
      <c r="R16" s="560"/>
      <c r="S16" s="560"/>
      <c r="T16" s="624"/>
    </row>
    <row r="17" spans="1:20" s="604" customFormat="1">
      <c r="A17" s="558" t="s">
        <v>350</v>
      </c>
      <c r="B17" s="558">
        <f>+B18+B27</f>
        <v>120000</v>
      </c>
      <c r="C17" s="661">
        <f t="shared" ref="C17:G17" si="6">+C18+C27</f>
        <v>10</v>
      </c>
      <c r="D17" s="661">
        <f t="shared" si="6"/>
        <v>30</v>
      </c>
      <c r="E17" s="661">
        <f t="shared" si="6"/>
        <v>100</v>
      </c>
      <c r="F17" s="661">
        <f t="shared" si="6"/>
        <v>300</v>
      </c>
      <c r="G17" s="661">
        <f t="shared" si="6"/>
        <v>6000</v>
      </c>
      <c r="H17" s="616"/>
      <c r="I17" s="559"/>
      <c r="J17" s="612"/>
      <c r="K17" s="623" t="str">
        <f t="shared" si="1"/>
        <v>120 kg</v>
      </c>
      <c r="L17" s="617"/>
      <c r="M17" s="560"/>
      <c r="N17" s="560"/>
      <c r="O17" s="560"/>
      <c r="P17" s="560"/>
      <c r="Q17" s="560"/>
      <c r="R17" s="560"/>
      <c r="S17" s="560"/>
      <c r="T17" s="624"/>
    </row>
    <row r="18" spans="1:20" s="604" customFormat="1">
      <c r="A18" s="558" t="s">
        <v>308</v>
      </c>
      <c r="B18" s="558">
        <f>+B22+B22</f>
        <v>100000</v>
      </c>
      <c r="C18" s="654"/>
      <c r="D18" s="654"/>
      <c r="E18" s="654"/>
      <c r="F18" s="654"/>
      <c r="G18" s="654">
        <f>+G22+G22</f>
        <v>5000</v>
      </c>
      <c r="H18" s="616"/>
      <c r="I18" s="559"/>
      <c r="J18" s="612"/>
      <c r="K18" s="623" t="str">
        <f t="shared" si="1"/>
        <v>100 kg</v>
      </c>
      <c r="L18" s="617">
        <f t="shared" si="2"/>
        <v>100000</v>
      </c>
      <c r="M18" s="560"/>
      <c r="N18" s="560"/>
      <c r="O18" s="560"/>
      <c r="P18" s="560"/>
      <c r="Q18" s="560">
        <f t="shared" si="3"/>
        <v>5</v>
      </c>
      <c r="R18" s="560"/>
      <c r="S18" s="560"/>
      <c r="T18" s="624"/>
    </row>
    <row r="19" spans="1:20" s="604" customFormat="1">
      <c r="A19" s="558" t="s">
        <v>349</v>
      </c>
      <c r="B19" s="558">
        <f>+B23+B23</f>
        <v>80000</v>
      </c>
      <c r="C19" s="661"/>
      <c r="D19" s="661"/>
      <c r="E19" s="661"/>
      <c r="F19" s="661"/>
      <c r="G19" s="661">
        <f t="shared" ref="G19" si="7">+G23+G23</f>
        <v>4000</v>
      </c>
      <c r="H19" s="616"/>
      <c r="I19" s="559"/>
      <c r="J19" s="612"/>
      <c r="K19" s="623" t="str">
        <f t="shared" si="1"/>
        <v xml:space="preserve">80 kg </v>
      </c>
      <c r="L19" s="617"/>
      <c r="M19" s="560"/>
      <c r="N19" s="560"/>
      <c r="O19" s="560"/>
      <c r="P19" s="560"/>
      <c r="Q19" s="560"/>
      <c r="R19" s="560"/>
      <c r="S19" s="560"/>
      <c r="T19" s="624"/>
    </row>
    <row r="20" spans="1:20" s="604" customFormat="1">
      <c r="A20" s="558" t="s">
        <v>307</v>
      </c>
      <c r="B20" s="558">
        <f>+B22+B25</f>
        <v>75000</v>
      </c>
      <c r="C20" s="654"/>
      <c r="D20" s="654"/>
      <c r="E20" s="654"/>
      <c r="F20" s="654"/>
      <c r="G20" s="654">
        <f>+G22+G25</f>
        <v>3750</v>
      </c>
      <c r="H20" s="616"/>
      <c r="I20" s="559"/>
      <c r="J20" s="612"/>
      <c r="K20" s="623" t="str">
        <f t="shared" si="1"/>
        <v>75 kg</v>
      </c>
      <c r="L20" s="617">
        <f t="shared" si="2"/>
        <v>75000</v>
      </c>
      <c r="M20" s="560"/>
      <c r="N20" s="560"/>
      <c r="O20" s="560"/>
      <c r="P20" s="560"/>
      <c r="Q20" s="560">
        <f t="shared" si="3"/>
        <v>3.75</v>
      </c>
      <c r="R20" s="560"/>
      <c r="S20" s="560"/>
      <c r="T20" s="624"/>
    </row>
    <row r="21" spans="1:20" s="604" customFormat="1">
      <c r="A21" s="558" t="s">
        <v>348</v>
      </c>
      <c r="B21" s="558">
        <f>+B22+B31</f>
        <v>60000</v>
      </c>
      <c r="C21" s="661">
        <f t="shared" ref="C21:G21" si="8">+C22+C31</f>
        <v>30</v>
      </c>
      <c r="D21" s="661">
        <f t="shared" si="8"/>
        <v>96</v>
      </c>
      <c r="E21" s="661">
        <f t="shared" si="8"/>
        <v>300</v>
      </c>
      <c r="F21" s="661">
        <f t="shared" si="8"/>
        <v>960</v>
      </c>
      <c r="G21" s="661">
        <f t="shared" si="8"/>
        <v>3000</v>
      </c>
      <c r="H21" s="616"/>
      <c r="I21" s="559"/>
      <c r="J21" s="612"/>
      <c r="K21" s="623" t="str">
        <f t="shared" si="1"/>
        <v>60 kg</v>
      </c>
      <c r="L21" s="617"/>
      <c r="M21" s="560"/>
      <c r="N21" s="560"/>
      <c r="O21" s="560"/>
      <c r="P21" s="560"/>
      <c r="Q21" s="560"/>
      <c r="R21" s="560"/>
      <c r="S21" s="660"/>
      <c r="T21" s="624"/>
    </row>
    <row r="22" spans="1:20">
      <c r="A22" s="536" t="s">
        <v>126</v>
      </c>
      <c r="B22" s="536">
        <v>50000</v>
      </c>
      <c r="C22" s="662">
        <v>25</v>
      </c>
      <c r="D22" s="662">
        <v>80</v>
      </c>
      <c r="E22" s="662">
        <v>250</v>
      </c>
      <c r="F22" s="662">
        <v>800</v>
      </c>
      <c r="G22" s="662">
        <v>2500</v>
      </c>
      <c r="H22" s="561">
        <v>8000</v>
      </c>
      <c r="I22" s="561">
        <v>25000</v>
      </c>
      <c r="J22" s="611"/>
      <c r="K22" s="625" t="str">
        <f>A22</f>
        <v>50 kg</v>
      </c>
      <c r="L22" s="617">
        <f t="shared" si="2"/>
        <v>50000</v>
      </c>
      <c r="M22" s="524">
        <f t="shared" ref="M22:S22" si="9">C22/1000</f>
        <v>2.5000000000000001E-2</v>
      </c>
      <c r="N22" s="524">
        <f t="shared" si="9"/>
        <v>0.08</v>
      </c>
      <c r="O22" s="524">
        <f t="shared" si="9"/>
        <v>0.25</v>
      </c>
      <c r="P22" s="524">
        <f t="shared" si="9"/>
        <v>0.8</v>
      </c>
      <c r="Q22" s="560">
        <f t="shared" si="3"/>
        <v>2.5</v>
      </c>
      <c r="R22" s="524">
        <f t="shared" si="9"/>
        <v>8</v>
      </c>
      <c r="S22" s="613">
        <f t="shared" si="9"/>
        <v>25</v>
      </c>
      <c r="T22" s="626"/>
    </row>
    <row r="23" spans="1:20">
      <c r="A23" s="536" t="s">
        <v>339</v>
      </c>
      <c r="B23" s="536">
        <f>+B24+B31</f>
        <v>40000</v>
      </c>
      <c r="C23" s="662"/>
      <c r="D23" s="662"/>
      <c r="E23" s="662"/>
      <c r="F23" s="662"/>
      <c r="G23" s="662">
        <f>+G24+G31</f>
        <v>2000</v>
      </c>
      <c r="H23" s="561"/>
      <c r="I23" s="561"/>
      <c r="J23" s="611"/>
      <c r="K23" s="625" t="str">
        <f>+A23</f>
        <v>40 kg</v>
      </c>
      <c r="L23" s="617">
        <f t="shared" si="2"/>
        <v>40000</v>
      </c>
      <c r="M23" s="524"/>
      <c r="N23" s="524"/>
      <c r="O23" s="524"/>
      <c r="P23" s="524"/>
      <c r="Q23" s="560">
        <f t="shared" si="3"/>
        <v>2</v>
      </c>
      <c r="R23" s="524"/>
      <c r="S23" s="613"/>
      <c r="T23" s="626"/>
    </row>
    <row r="24" spans="1:20">
      <c r="A24" s="536" t="s">
        <v>290</v>
      </c>
      <c r="B24" s="536">
        <f>+B27+B31</f>
        <v>30000</v>
      </c>
      <c r="C24" s="662"/>
      <c r="D24" s="662"/>
      <c r="E24" s="662">
        <f>+E27+E31</f>
        <v>150</v>
      </c>
      <c r="F24" s="662"/>
      <c r="G24" s="662">
        <f>+G27+G31</f>
        <v>1500</v>
      </c>
      <c r="H24" s="561"/>
      <c r="I24" s="561"/>
      <c r="J24" s="611"/>
      <c r="K24" s="625" t="str">
        <f>+A24</f>
        <v>30 kg</v>
      </c>
      <c r="L24" s="617">
        <f t="shared" si="2"/>
        <v>30000</v>
      </c>
      <c r="M24" s="524"/>
      <c r="N24" s="524"/>
      <c r="O24" s="524">
        <f>+E24/1000</f>
        <v>0.15</v>
      </c>
      <c r="P24" s="524"/>
      <c r="Q24" s="560">
        <f t="shared" si="3"/>
        <v>1.5</v>
      </c>
      <c r="R24" s="524"/>
      <c r="S24" s="613"/>
      <c r="T24" s="626"/>
    </row>
    <row r="25" spans="1:20">
      <c r="A25" s="536" t="s">
        <v>306</v>
      </c>
      <c r="B25" s="536">
        <f>+B27+B34</f>
        <v>25000</v>
      </c>
      <c r="C25" s="662"/>
      <c r="D25" s="662"/>
      <c r="E25" s="662">
        <f>+E27+E34</f>
        <v>125</v>
      </c>
      <c r="F25" s="662"/>
      <c r="G25" s="662">
        <f>+G27+G34</f>
        <v>1250</v>
      </c>
      <c r="H25" s="561"/>
      <c r="I25" s="561"/>
      <c r="J25" s="611"/>
      <c r="K25" s="625" t="str">
        <f>+A25</f>
        <v xml:space="preserve">25 kg </v>
      </c>
      <c r="L25" s="617">
        <f t="shared" si="2"/>
        <v>25000</v>
      </c>
      <c r="M25" s="524"/>
      <c r="N25" s="524"/>
      <c r="O25" s="524">
        <f>+E25/1000</f>
        <v>0.125</v>
      </c>
      <c r="P25" s="524"/>
      <c r="Q25" s="560">
        <f t="shared" si="3"/>
        <v>1.25</v>
      </c>
      <c r="R25" s="524"/>
      <c r="S25" s="613"/>
      <c r="T25" s="626"/>
    </row>
    <row r="26" spans="1:20">
      <c r="A26" s="536" t="s">
        <v>304</v>
      </c>
      <c r="B26" s="536">
        <f>+B27+B38</f>
        <v>22500</v>
      </c>
      <c r="C26" s="662"/>
      <c r="D26" s="662"/>
      <c r="E26" s="662">
        <f>+E27+E38</f>
        <v>113.8</v>
      </c>
      <c r="F26" s="662"/>
      <c r="G26" s="662">
        <f>+G27+G38</f>
        <v>1138</v>
      </c>
      <c r="H26" s="561"/>
      <c r="I26" s="561"/>
      <c r="J26" s="611"/>
      <c r="K26" s="625" t="str">
        <f>+A26</f>
        <v>22.5 kg</v>
      </c>
      <c r="L26" s="617">
        <f t="shared" si="2"/>
        <v>22500</v>
      </c>
      <c r="M26" s="524"/>
      <c r="N26" s="524"/>
      <c r="O26" s="524">
        <f>+E26/1000</f>
        <v>0.1138</v>
      </c>
      <c r="P26" s="524"/>
      <c r="Q26" s="560">
        <f t="shared" si="3"/>
        <v>1.1379999999999999</v>
      </c>
      <c r="R26" s="524"/>
      <c r="S26" s="613"/>
      <c r="T26" s="626"/>
    </row>
    <row r="27" spans="1:20">
      <c r="A27" s="536" t="s">
        <v>55</v>
      </c>
      <c r="B27" s="536">
        <v>20000</v>
      </c>
      <c r="C27" s="561">
        <v>10</v>
      </c>
      <c r="D27" s="561">
        <v>30</v>
      </c>
      <c r="E27" s="561">
        <v>100</v>
      </c>
      <c r="F27" s="561">
        <v>300</v>
      </c>
      <c r="G27" s="561">
        <v>1000</v>
      </c>
      <c r="H27" s="561">
        <v>3000</v>
      </c>
      <c r="I27" s="561">
        <v>10000</v>
      </c>
      <c r="J27" s="611"/>
      <c r="K27" s="625" t="str">
        <f>A27</f>
        <v>20 kg</v>
      </c>
      <c r="L27" s="617">
        <f t="shared" si="2"/>
        <v>20000</v>
      </c>
      <c r="M27" s="524">
        <f>C27/1000</f>
        <v>0.01</v>
      </c>
      <c r="N27" s="524">
        <f>D27/1000</f>
        <v>0.03</v>
      </c>
      <c r="O27" s="524">
        <f>E27/1000</f>
        <v>0.1</v>
      </c>
      <c r="P27" s="524">
        <f>F27/1000</f>
        <v>0.3</v>
      </c>
      <c r="Q27" s="560">
        <f t="shared" si="3"/>
        <v>1</v>
      </c>
      <c r="R27" s="524">
        <f>H27/1000</f>
        <v>3</v>
      </c>
      <c r="S27" s="613">
        <f>I27/1000</f>
        <v>10</v>
      </c>
      <c r="T27" s="626"/>
    </row>
    <row r="28" spans="1:20">
      <c r="A28" s="536" t="s">
        <v>302</v>
      </c>
      <c r="B28" s="536">
        <f>+B31+B34</f>
        <v>15000</v>
      </c>
      <c r="C28" s="561"/>
      <c r="D28" s="561"/>
      <c r="E28" s="561">
        <f>+E31+E34</f>
        <v>75</v>
      </c>
      <c r="F28" s="561"/>
      <c r="G28" s="561">
        <f>+G31+G34</f>
        <v>750</v>
      </c>
      <c r="H28" s="561"/>
      <c r="I28" s="561"/>
      <c r="J28" s="611"/>
      <c r="K28" s="625" t="str">
        <f>A28</f>
        <v>15 kg</v>
      </c>
      <c r="L28" s="617">
        <f t="shared" si="2"/>
        <v>15000</v>
      </c>
      <c r="M28" s="524"/>
      <c r="N28" s="524"/>
      <c r="O28" s="524">
        <f t="shared" ref="O28:O59" si="10">E28/1000</f>
        <v>7.4999999999999997E-2</v>
      </c>
      <c r="P28" s="524"/>
      <c r="Q28" s="560">
        <f t="shared" si="3"/>
        <v>0.75</v>
      </c>
      <c r="R28" s="524"/>
      <c r="S28" s="613"/>
      <c r="T28" s="626"/>
    </row>
    <row r="29" spans="1:20">
      <c r="A29" s="536" t="s">
        <v>305</v>
      </c>
      <c r="B29" s="536">
        <f>+B31+B38</f>
        <v>12500</v>
      </c>
      <c r="C29" s="561"/>
      <c r="D29" s="561"/>
      <c r="E29" s="561">
        <f>+E31+E38</f>
        <v>63.8</v>
      </c>
      <c r="F29" s="561"/>
      <c r="G29" s="561">
        <f>+G31+G38</f>
        <v>638</v>
      </c>
      <c r="H29" s="561"/>
      <c r="I29" s="561"/>
      <c r="J29" s="611"/>
      <c r="K29" s="625" t="str">
        <f>A29</f>
        <v xml:space="preserve">12.5 kg </v>
      </c>
      <c r="L29" s="617">
        <f t="shared" si="2"/>
        <v>12500</v>
      </c>
      <c r="M29" s="524"/>
      <c r="N29" s="524"/>
      <c r="O29" s="524">
        <f t="shared" si="10"/>
        <v>6.3799999999999996E-2</v>
      </c>
      <c r="P29" s="524"/>
      <c r="Q29" s="560">
        <f t="shared" si="3"/>
        <v>0.63800000000000001</v>
      </c>
      <c r="R29" s="524"/>
      <c r="S29" s="613"/>
      <c r="T29" s="626"/>
    </row>
    <row r="30" spans="1:20">
      <c r="A30" s="536" t="s">
        <v>303</v>
      </c>
      <c r="B30" s="536">
        <f>+B31+B42</f>
        <v>11250</v>
      </c>
      <c r="C30" s="561"/>
      <c r="D30" s="561"/>
      <c r="E30" s="561">
        <f>+E31+E42</f>
        <v>56.3</v>
      </c>
      <c r="F30" s="561"/>
      <c r="G30" s="561">
        <f>+G31+G42</f>
        <v>563</v>
      </c>
      <c r="H30" s="561"/>
      <c r="I30" s="561"/>
      <c r="J30" s="611"/>
      <c r="K30" s="625" t="str">
        <f>A30</f>
        <v>11.25 kg</v>
      </c>
      <c r="L30" s="617">
        <f t="shared" si="2"/>
        <v>11250</v>
      </c>
      <c r="M30" s="524"/>
      <c r="N30" s="524"/>
      <c r="O30" s="524">
        <f t="shared" si="10"/>
        <v>5.6299999999999996E-2</v>
      </c>
      <c r="P30" s="524"/>
      <c r="Q30" s="560">
        <f t="shared" si="3"/>
        <v>0.56299999999999994</v>
      </c>
      <c r="R30" s="524"/>
      <c r="S30" s="613"/>
      <c r="T30" s="626"/>
    </row>
    <row r="31" spans="1:20">
      <c r="A31" s="536" t="s">
        <v>127</v>
      </c>
      <c r="B31" s="536">
        <v>10000</v>
      </c>
      <c r="C31" s="561">
        <v>5</v>
      </c>
      <c r="D31" s="561">
        <v>16</v>
      </c>
      <c r="E31" s="561">
        <v>50</v>
      </c>
      <c r="F31" s="561">
        <v>160</v>
      </c>
      <c r="G31" s="561">
        <v>500</v>
      </c>
      <c r="H31" s="561">
        <v>1600</v>
      </c>
      <c r="I31" s="561">
        <v>5000</v>
      </c>
      <c r="J31" s="611"/>
      <c r="K31" s="625" t="str">
        <f t="shared" ref="K31:K51" si="11">A31</f>
        <v>10 kg</v>
      </c>
      <c r="L31" s="617">
        <f t="shared" si="2"/>
        <v>10000</v>
      </c>
      <c r="M31" s="524">
        <f>C31/1000</f>
        <v>5.0000000000000001E-3</v>
      </c>
      <c r="N31" s="524">
        <f>D31/1000</f>
        <v>1.6E-2</v>
      </c>
      <c r="O31" s="524">
        <f t="shared" si="10"/>
        <v>0.05</v>
      </c>
      <c r="P31" s="524">
        <f>F31/1000</f>
        <v>0.16</v>
      </c>
      <c r="Q31" s="560">
        <f t="shared" si="3"/>
        <v>0.5</v>
      </c>
      <c r="R31" s="524">
        <f>H31/1000</f>
        <v>1.6</v>
      </c>
      <c r="S31" s="613">
        <f>I31/1000</f>
        <v>5</v>
      </c>
      <c r="T31" s="626"/>
    </row>
    <row r="32" spans="1:20">
      <c r="A32" s="536" t="s">
        <v>300</v>
      </c>
      <c r="B32" s="536">
        <f>+B33+B41</f>
        <v>7500</v>
      </c>
      <c r="C32" s="561"/>
      <c r="D32" s="561"/>
      <c r="E32" s="561">
        <f>+E33+E41</f>
        <v>37.5</v>
      </c>
      <c r="F32" s="561"/>
      <c r="G32" s="561">
        <f>+G33+G41</f>
        <v>375</v>
      </c>
      <c r="H32" s="561"/>
      <c r="I32" s="561"/>
      <c r="J32" s="611"/>
      <c r="K32" s="625" t="str">
        <f t="shared" si="11"/>
        <v>7.5 kg</v>
      </c>
      <c r="L32" s="617">
        <f t="shared" si="2"/>
        <v>7500</v>
      </c>
      <c r="M32" s="524"/>
      <c r="N32" s="524"/>
      <c r="O32" s="524">
        <f t="shared" si="10"/>
        <v>3.7499999999999999E-2</v>
      </c>
      <c r="P32" s="524"/>
      <c r="Q32" s="560">
        <f t="shared" si="3"/>
        <v>0.375</v>
      </c>
      <c r="R32" s="524"/>
      <c r="S32" s="613"/>
      <c r="T32" s="626"/>
    </row>
    <row r="33" spans="1:20">
      <c r="A33" s="536" t="s">
        <v>292</v>
      </c>
      <c r="B33" s="536">
        <f>+B34+B43</f>
        <v>6000</v>
      </c>
      <c r="C33" s="561"/>
      <c r="D33" s="561"/>
      <c r="E33" s="561">
        <f>+E34+E43</f>
        <v>30</v>
      </c>
      <c r="F33" s="561"/>
      <c r="G33" s="561">
        <f>+G34+G43</f>
        <v>300</v>
      </c>
      <c r="H33" s="561"/>
      <c r="I33" s="561"/>
      <c r="J33" s="611"/>
      <c r="K33" s="625" t="str">
        <f t="shared" si="11"/>
        <v>6 kg</v>
      </c>
      <c r="L33" s="617">
        <f t="shared" si="2"/>
        <v>6000</v>
      </c>
      <c r="M33" s="524"/>
      <c r="N33" s="524"/>
      <c r="O33" s="524">
        <f t="shared" si="10"/>
        <v>0.03</v>
      </c>
      <c r="P33" s="524"/>
      <c r="Q33" s="560">
        <f t="shared" si="3"/>
        <v>0.3</v>
      </c>
      <c r="R33" s="524"/>
      <c r="S33" s="613"/>
      <c r="T33" s="626"/>
    </row>
    <row r="34" spans="1:20">
      <c r="A34" s="536" t="s">
        <v>128</v>
      </c>
      <c r="B34" s="536">
        <v>5000</v>
      </c>
      <c r="C34" s="561">
        <v>2.5</v>
      </c>
      <c r="D34" s="561">
        <v>8</v>
      </c>
      <c r="E34" s="561">
        <v>25</v>
      </c>
      <c r="F34" s="561">
        <v>80</v>
      </c>
      <c r="G34" s="561">
        <v>250</v>
      </c>
      <c r="H34" s="561">
        <v>800</v>
      </c>
      <c r="I34" s="561">
        <v>2500</v>
      </c>
      <c r="J34" s="611"/>
      <c r="K34" s="625" t="str">
        <f t="shared" si="11"/>
        <v>5 kg</v>
      </c>
      <c r="L34" s="617">
        <f t="shared" si="2"/>
        <v>5000</v>
      </c>
      <c r="M34" s="524">
        <f>C34/1000</f>
        <v>2.5000000000000001E-3</v>
      </c>
      <c r="N34" s="524">
        <f>D34/1000</f>
        <v>8.0000000000000002E-3</v>
      </c>
      <c r="O34" s="524">
        <f t="shared" si="10"/>
        <v>2.5000000000000001E-2</v>
      </c>
      <c r="P34" s="524">
        <f>F34/1000</f>
        <v>0.08</v>
      </c>
      <c r="Q34" s="560">
        <f t="shared" si="3"/>
        <v>0.25</v>
      </c>
      <c r="R34" s="524">
        <f>H34/1000</f>
        <v>0.8</v>
      </c>
      <c r="S34" s="613">
        <f>I34/1000</f>
        <v>2.5</v>
      </c>
      <c r="T34" s="626"/>
    </row>
    <row r="35" spans="1:20">
      <c r="A35" s="536" t="s">
        <v>301</v>
      </c>
      <c r="B35" s="536">
        <f>+B37+B41</f>
        <v>4500</v>
      </c>
      <c r="C35" s="561"/>
      <c r="D35" s="561"/>
      <c r="E35" s="561">
        <f>+E37+E41</f>
        <v>22.5</v>
      </c>
      <c r="F35" s="561"/>
      <c r="G35" s="561">
        <f>+G37+G41</f>
        <v>225</v>
      </c>
      <c r="H35" s="561"/>
      <c r="I35" s="561"/>
      <c r="J35" s="611"/>
      <c r="K35" s="625" t="str">
        <f t="shared" si="11"/>
        <v xml:space="preserve">4.5 kg </v>
      </c>
      <c r="L35" s="617">
        <f t="shared" si="2"/>
        <v>4500</v>
      </c>
      <c r="M35" s="524"/>
      <c r="N35" s="524"/>
      <c r="O35" s="524">
        <f t="shared" si="10"/>
        <v>2.2499999999999999E-2</v>
      </c>
      <c r="P35" s="524"/>
      <c r="Q35" s="560">
        <f t="shared" si="3"/>
        <v>0.22500000000000001</v>
      </c>
      <c r="R35" s="524"/>
      <c r="S35" s="613"/>
      <c r="T35" s="626"/>
    </row>
    <row r="36" spans="1:20">
      <c r="A36" s="536" t="s">
        <v>299</v>
      </c>
      <c r="B36" s="536">
        <f>+B37+B44</f>
        <v>3750</v>
      </c>
      <c r="C36" s="561"/>
      <c r="D36" s="561"/>
      <c r="E36" s="561">
        <f>+E37+E44</f>
        <v>18.8</v>
      </c>
      <c r="F36" s="561"/>
      <c r="G36" s="561">
        <f>+G37+G44</f>
        <v>188</v>
      </c>
      <c r="H36" s="561"/>
      <c r="I36" s="561"/>
      <c r="J36" s="611"/>
      <c r="K36" s="625" t="str">
        <f t="shared" si="11"/>
        <v>3.75 kg</v>
      </c>
      <c r="L36" s="617">
        <f t="shared" si="2"/>
        <v>3750</v>
      </c>
      <c r="M36" s="524"/>
      <c r="N36" s="524"/>
      <c r="O36" s="524">
        <f t="shared" si="10"/>
        <v>1.8800000000000001E-2</v>
      </c>
      <c r="P36" s="524"/>
      <c r="Q36" s="560">
        <f t="shared" si="3"/>
        <v>0.188</v>
      </c>
      <c r="R36" s="524"/>
      <c r="S36" s="613"/>
      <c r="T36" s="626"/>
    </row>
    <row r="37" spans="1:20">
      <c r="A37" s="536" t="s">
        <v>291</v>
      </c>
      <c r="B37" s="536">
        <f>+B40+B43</f>
        <v>3000</v>
      </c>
      <c r="C37" s="561"/>
      <c r="D37" s="561"/>
      <c r="E37" s="561">
        <f>+E40+E43</f>
        <v>15</v>
      </c>
      <c r="F37" s="561"/>
      <c r="G37" s="561">
        <f>+G40+G43</f>
        <v>150</v>
      </c>
      <c r="H37" s="561"/>
      <c r="I37" s="561"/>
      <c r="J37" s="611"/>
      <c r="K37" s="625" t="str">
        <f t="shared" si="11"/>
        <v>3 kg</v>
      </c>
      <c r="L37" s="617">
        <f t="shared" si="2"/>
        <v>3000</v>
      </c>
      <c r="M37" s="524"/>
      <c r="N37" s="524"/>
      <c r="O37" s="524">
        <f t="shared" si="10"/>
        <v>1.4999999999999999E-2</v>
      </c>
      <c r="P37" s="524"/>
      <c r="Q37" s="560">
        <f t="shared" si="3"/>
        <v>0.15</v>
      </c>
      <c r="R37" s="524"/>
      <c r="S37" s="613"/>
      <c r="T37" s="626"/>
    </row>
    <row r="38" spans="1:20">
      <c r="A38" s="536" t="s">
        <v>298</v>
      </c>
      <c r="B38" s="536">
        <f>+B40+B46</f>
        <v>2500</v>
      </c>
      <c r="C38" s="561"/>
      <c r="D38" s="561"/>
      <c r="E38" s="561">
        <f>+E39+E46</f>
        <v>13.8</v>
      </c>
      <c r="F38" s="561"/>
      <c r="G38" s="561">
        <f>+G39+G46</f>
        <v>138</v>
      </c>
      <c r="H38" s="561"/>
      <c r="I38" s="561"/>
      <c r="J38" s="611"/>
      <c r="K38" s="625" t="str">
        <f t="shared" si="11"/>
        <v>2.5 kg</v>
      </c>
      <c r="L38" s="617">
        <f t="shared" si="2"/>
        <v>2500</v>
      </c>
      <c r="M38" s="524"/>
      <c r="N38" s="524"/>
      <c r="O38" s="524">
        <f t="shared" si="10"/>
        <v>1.3800000000000002E-2</v>
      </c>
      <c r="P38" s="524"/>
      <c r="Q38" s="560">
        <f t="shared" si="3"/>
        <v>0.13800000000000001</v>
      </c>
      <c r="R38" s="524"/>
      <c r="S38" s="613"/>
      <c r="T38" s="626"/>
    </row>
    <row r="39" spans="1:20">
      <c r="A39" s="536" t="s">
        <v>297</v>
      </c>
      <c r="B39" s="536">
        <f>+B40+B49</f>
        <v>2250</v>
      </c>
      <c r="C39" s="561"/>
      <c r="D39" s="561"/>
      <c r="E39" s="561">
        <f>+E40+E49</f>
        <v>11.3</v>
      </c>
      <c r="F39" s="561"/>
      <c r="G39" s="561">
        <f>+G40+G49</f>
        <v>113</v>
      </c>
      <c r="H39" s="561"/>
      <c r="I39" s="561"/>
      <c r="J39" s="611"/>
      <c r="K39" s="625" t="str">
        <f t="shared" si="11"/>
        <v>2.25 kg</v>
      </c>
      <c r="L39" s="617">
        <f t="shared" si="2"/>
        <v>2250</v>
      </c>
      <c r="M39" s="524"/>
      <c r="N39" s="524"/>
      <c r="O39" s="524">
        <f t="shared" si="10"/>
        <v>1.1300000000000001E-2</v>
      </c>
      <c r="P39" s="524"/>
      <c r="Q39" s="560">
        <f t="shared" si="3"/>
        <v>0.113</v>
      </c>
      <c r="R39" s="524"/>
      <c r="S39" s="613"/>
      <c r="T39" s="626"/>
    </row>
    <row r="40" spans="1:20">
      <c r="A40" s="536" t="s">
        <v>129</v>
      </c>
      <c r="B40" s="536">
        <v>2000</v>
      </c>
      <c r="C40" s="561">
        <v>1</v>
      </c>
      <c r="D40" s="561">
        <v>3</v>
      </c>
      <c r="E40" s="561">
        <v>10</v>
      </c>
      <c r="F40" s="561">
        <v>30</v>
      </c>
      <c r="G40" s="561">
        <v>100</v>
      </c>
      <c r="H40" s="561">
        <v>300</v>
      </c>
      <c r="I40" s="561">
        <v>1000</v>
      </c>
      <c r="J40" s="611"/>
      <c r="K40" s="625" t="str">
        <f t="shared" si="11"/>
        <v>2 kg</v>
      </c>
      <c r="L40" s="617">
        <f t="shared" si="2"/>
        <v>2000</v>
      </c>
      <c r="M40" s="524">
        <f>C40/1000</f>
        <v>1E-3</v>
      </c>
      <c r="N40" s="524">
        <f>D40/1000</f>
        <v>3.0000000000000001E-3</v>
      </c>
      <c r="O40" s="524">
        <f t="shared" si="10"/>
        <v>0.01</v>
      </c>
      <c r="P40" s="524">
        <f>F40/1000</f>
        <v>0.03</v>
      </c>
      <c r="Q40" s="560">
        <f t="shared" si="3"/>
        <v>0.1</v>
      </c>
      <c r="R40" s="524">
        <f>H40/1000</f>
        <v>0.3</v>
      </c>
      <c r="S40" s="613">
        <f>I40/1000</f>
        <v>1</v>
      </c>
      <c r="T40" s="626"/>
    </row>
    <row r="41" spans="1:20">
      <c r="A41" s="536" t="s">
        <v>295</v>
      </c>
      <c r="B41" s="536">
        <f>+B43+B46</f>
        <v>1500</v>
      </c>
      <c r="C41" s="561"/>
      <c r="D41" s="561"/>
      <c r="E41" s="561">
        <f>+E43+E46</f>
        <v>7.5</v>
      </c>
      <c r="F41" s="561"/>
      <c r="G41" s="561">
        <f>+G43+G46</f>
        <v>75</v>
      </c>
      <c r="H41" s="561"/>
      <c r="I41" s="561"/>
      <c r="J41" s="611"/>
      <c r="K41" s="625" t="str">
        <f t="shared" si="11"/>
        <v>1.5 kg</v>
      </c>
      <c r="L41" s="617">
        <f t="shared" si="2"/>
        <v>1500</v>
      </c>
      <c r="M41" s="524"/>
      <c r="N41" s="524"/>
      <c r="O41" s="524">
        <f t="shared" si="10"/>
        <v>7.4999999999999997E-3</v>
      </c>
      <c r="P41" s="524"/>
      <c r="Q41" s="560">
        <f t="shared" si="3"/>
        <v>7.4999999999999997E-2</v>
      </c>
      <c r="R41" s="524"/>
      <c r="S41" s="613"/>
      <c r="T41" s="626"/>
    </row>
    <row r="42" spans="1:20">
      <c r="A42" s="536" t="s">
        <v>296</v>
      </c>
      <c r="B42" s="536">
        <f>+B43+B49</f>
        <v>1250</v>
      </c>
      <c r="C42" s="561"/>
      <c r="D42" s="561"/>
      <c r="E42" s="561">
        <f>+E43+E49</f>
        <v>6.3</v>
      </c>
      <c r="F42" s="561"/>
      <c r="G42" s="561">
        <f>+G43+G49</f>
        <v>63</v>
      </c>
      <c r="H42" s="561"/>
      <c r="I42" s="561"/>
      <c r="J42" s="611"/>
      <c r="K42" s="625" t="str">
        <f t="shared" si="11"/>
        <v>1.25 kg</v>
      </c>
      <c r="L42" s="617">
        <f t="shared" si="2"/>
        <v>1250</v>
      </c>
      <c r="M42" s="524"/>
      <c r="N42" s="524"/>
      <c r="O42" s="524">
        <f t="shared" si="10"/>
        <v>6.3E-3</v>
      </c>
      <c r="P42" s="524"/>
      <c r="Q42" s="560">
        <f t="shared" si="3"/>
        <v>6.3E-2</v>
      </c>
      <c r="R42" s="524"/>
      <c r="S42" s="613"/>
      <c r="T42" s="626"/>
    </row>
    <row r="43" spans="1:20">
      <c r="A43" s="536" t="s">
        <v>130</v>
      </c>
      <c r="B43" s="536">
        <v>1000</v>
      </c>
      <c r="C43" s="561">
        <v>0.5</v>
      </c>
      <c r="D43" s="561">
        <v>1.6</v>
      </c>
      <c r="E43" s="561">
        <v>5</v>
      </c>
      <c r="F43" s="561">
        <v>16</v>
      </c>
      <c r="G43" s="561">
        <v>50</v>
      </c>
      <c r="H43" s="561">
        <v>160</v>
      </c>
      <c r="I43" s="561">
        <v>500</v>
      </c>
      <c r="J43" s="611"/>
      <c r="K43" s="625" t="str">
        <f t="shared" si="11"/>
        <v>1 kg</v>
      </c>
      <c r="L43" s="617">
        <f t="shared" si="2"/>
        <v>1000</v>
      </c>
      <c r="M43" s="524">
        <f>C43/1000</f>
        <v>5.0000000000000001E-4</v>
      </c>
      <c r="N43" s="524">
        <f>D43/1000</f>
        <v>1.6000000000000001E-3</v>
      </c>
      <c r="O43" s="524">
        <f t="shared" si="10"/>
        <v>5.0000000000000001E-3</v>
      </c>
      <c r="P43" s="524">
        <f>F43/1000</f>
        <v>1.6E-2</v>
      </c>
      <c r="Q43" s="560">
        <f t="shared" si="3"/>
        <v>0.05</v>
      </c>
      <c r="R43" s="524">
        <f>H43/1000</f>
        <v>0.16</v>
      </c>
      <c r="S43" s="613">
        <f>I43/1000</f>
        <v>0.5</v>
      </c>
      <c r="T43" s="626"/>
    </row>
    <row r="44" spans="1:20">
      <c r="A44" s="536" t="s">
        <v>294</v>
      </c>
      <c r="B44" s="536">
        <f>+B45+B51</f>
        <v>750</v>
      </c>
      <c r="C44" s="561"/>
      <c r="D44" s="561"/>
      <c r="E44" s="561">
        <f>+E45+E51</f>
        <v>3.8</v>
      </c>
      <c r="F44" s="561"/>
      <c r="G44" s="561">
        <f>+G45+G51</f>
        <v>38</v>
      </c>
      <c r="H44" s="561"/>
      <c r="I44" s="561"/>
      <c r="J44" s="611"/>
      <c r="K44" s="625" t="str">
        <f t="shared" si="11"/>
        <v>750 g</v>
      </c>
      <c r="L44" s="617">
        <f t="shared" si="2"/>
        <v>750</v>
      </c>
      <c r="M44" s="524"/>
      <c r="N44" s="524"/>
      <c r="O44" s="524">
        <f t="shared" si="10"/>
        <v>3.8E-3</v>
      </c>
      <c r="P44" s="524"/>
      <c r="Q44" s="560">
        <f t="shared" si="3"/>
        <v>3.7999999999999999E-2</v>
      </c>
      <c r="R44" s="524"/>
      <c r="S44" s="613"/>
      <c r="T44" s="626"/>
    </row>
    <row r="45" spans="1:20">
      <c r="A45" s="536" t="s">
        <v>283</v>
      </c>
      <c r="B45" s="536">
        <f>+B46+B52</f>
        <v>600</v>
      </c>
      <c r="C45" s="561"/>
      <c r="D45" s="561"/>
      <c r="E45" s="561">
        <f>+E46+E52</f>
        <v>3</v>
      </c>
      <c r="F45" s="561"/>
      <c r="G45" s="561">
        <f>+G46+G52</f>
        <v>30</v>
      </c>
      <c r="H45" s="561"/>
      <c r="I45" s="561"/>
      <c r="J45" s="611"/>
      <c r="K45" s="625" t="str">
        <f t="shared" si="11"/>
        <v xml:space="preserve"> 600 g</v>
      </c>
      <c r="L45" s="617">
        <f t="shared" si="2"/>
        <v>600</v>
      </c>
      <c r="M45" s="524"/>
      <c r="N45" s="524"/>
      <c r="O45" s="524">
        <f t="shared" si="10"/>
        <v>3.0000000000000001E-3</v>
      </c>
      <c r="P45" s="524"/>
      <c r="Q45" s="560">
        <f t="shared" si="3"/>
        <v>0.03</v>
      </c>
      <c r="R45" s="524"/>
      <c r="S45" s="613"/>
      <c r="T45" s="626"/>
    </row>
    <row r="46" spans="1:20">
      <c r="A46" s="536" t="s">
        <v>131</v>
      </c>
      <c r="B46" s="536">
        <v>500</v>
      </c>
      <c r="C46" s="561">
        <v>0.25</v>
      </c>
      <c r="D46" s="561">
        <v>0.8</v>
      </c>
      <c r="E46" s="561">
        <v>2.5</v>
      </c>
      <c r="F46" s="561">
        <v>8</v>
      </c>
      <c r="G46" s="561">
        <v>25</v>
      </c>
      <c r="H46" s="561">
        <v>80</v>
      </c>
      <c r="I46" s="561">
        <v>250</v>
      </c>
      <c r="J46" s="611"/>
      <c r="K46" s="625" t="str">
        <f t="shared" si="11"/>
        <v>500 g</v>
      </c>
      <c r="L46" s="617">
        <f t="shared" si="2"/>
        <v>500</v>
      </c>
      <c r="M46" s="524">
        <f>C46/1000</f>
        <v>2.5000000000000001E-4</v>
      </c>
      <c r="N46" s="524">
        <f>D46/1000</f>
        <v>8.0000000000000004E-4</v>
      </c>
      <c r="O46" s="524">
        <f t="shared" si="10"/>
        <v>2.5000000000000001E-3</v>
      </c>
      <c r="P46" s="524">
        <f>F46/1000</f>
        <v>8.0000000000000002E-3</v>
      </c>
      <c r="Q46" s="560">
        <f t="shared" si="3"/>
        <v>2.5000000000000001E-2</v>
      </c>
      <c r="R46" s="524">
        <f>H46/1000</f>
        <v>0.08</v>
      </c>
      <c r="S46" s="613">
        <f>I46/1000</f>
        <v>0.25</v>
      </c>
      <c r="T46" s="626"/>
    </row>
    <row r="47" spans="1:20">
      <c r="A47" s="536" t="s">
        <v>293</v>
      </c>
      <c r="B47" s="536">
        <f>+B48+B51</f>
        <v>450</v>
      </c>
      <c r="C47" s="561"/>
      <c r="D47" s="561"/>
      <c r="E47" s="561">
        <f>+E48+E51</f>
        <v>2.2999999999999998</v>
      </c>
      <c r="F47" s="561"/>
      <c r="G47" s="561">
        <f>+G48+G51</f>
        <v>23</v>
      </c>
      <c r="H47" s="561"/>
      <c r="I47" s="561"/>
      <c r="J47" s="611"/>
      <c r="K47" s="625" t="str">
        <f t="shared" si="11"/>
        <v>450 g</v>
      </c>
      <c r="L47" s="617">
        <f t="shared" si="2"/>
        <v>450</v>
      </c>
      <c r="M47" s="524"/>
      <c r="N47" s="524"/>
      <c r="O47" s="524">
        <f t="shared" si="10"/>
        <v>2.3E-3</v>
      </c>
      <c r="P47" s="524"/>
      <c r="Q47" s="560">
        <f t="shared" si="3"/>
        <v>2.3E-2</v>
      </c>
      <c r="R47" s="524"/>
      <c r="S47" s="613"/>
      <c r="T47" s="626"/>
    </row>
    <row r="48" spans="1:20">
      <c r="A48" s="536" t="s">
        <v>288</v>
      </c>
      <c r="B48" s="536">
        <f>+B50+B52</f>
        <v>300</v>
      </c>
      <c r="C48" s="561"/>
      <c r="D48" s="561"/>
      <c r="E48" s="561">
        <f>+E50+E52</f>
        <v>1.5</v>
      </c>
      <c r="F48" s="561"/>
      <c r="G48" s="561">
        <f>+G50+G52</f>
        <v>15</v>
      </c>
      <c r="H48" s="561"/>
      <c r="I48" s="561"/>
      <c r="J48" s="611"/>
      <c r="K48" s="625" t="str">
        <f t="shared" si="11"/>
        <v xml:space="preserve">300 g </v>
      </c>
      <c r="L48" s="617">
        <f t="shared" si="2"/>
        <v>300</v>
      </c>
      <c r="M48" s="524"/>
      <c r="N48" s="524"/>
      <c r="O48" s="524">
        <f t="shared" si="10"/>
        <v>1.5E-3</v>
      </c>
      <c r="P48" s="524"/>
      <c r="Q48" s="560">
        <f t="shared" si="3"/>
        <v>1.4999999999999999E-2</v>
      </c>
      <c r="R48" s="524"/>
      <c r="S48" s="613"/>
      <c r="T48" s="626"/>
    </row>
    <row r="49" spans="1:20">
      <c r="A49" s="536" t="s">
        <v>289</v>
      </c>
      <c r="B49" s="536">
        <f>+B50+B55</f>
        <v>250</v>
      </c>
      <c r="C49" s="561"/>
      <c r="D49" s="561"/>
      <c r="E49" s="561">
        <f>+E50+E55</f>
        <v>1.3</v>
      </c>
      <c r="F49" s="561"/>
      <c r="G49" s="561">
        <f>+G50+G55</f>
        <v>13</v>
      </c>
      <c r="H49" s="561"/>
      <c r="I49" s="561"/>
      <c r="J49" s="611"/>
      <c r="K49" s="625" t="str">
        <f t="shared" si="11"/>
        <v>250 g</v>
      </c>
      <c r="L49" s="617">
        <f t="shared" si="2"/>
        <v>250</v>
      </c>
      <c r="M49" s="524"/>
      <c r="N49" s="524"/>
      <c r="O49" s="524">
        <f t="shared" si="10"/>
        <v>1.2999999999999999E-3</v>
      </c>
      <c r="P49" s="524"/>
      <c r="Q49" s="560">
        <f t="shared" si="3"/>
        <v>1.2999999999999999E-2</v>
      </c>
      <c r="R49" s="524"/>
      <c r="S49" s="613"/>
      <c r="T49" s="626"/>
    </row>
    <row r="50" spans="1:20">
      <c r="A50" s="536" t="s">
        <v>132</v>
      </c>
      <c r="B50" s="536">
        <v>200</v>
      </c>
      <c r="C50" s="561">
        <v>0.1</v>
      </c>
      <c r="D50" s="561">
        <v>0.3</v>
      </c>
      <c r="E50" s="561">
        <v>1</v>
      </c>
      <c r="F50" s="561">
        <v>3</v>
      </c>
      <c r="G50" s="561">
        <v>10</v>
      </c>
      <c r="H50" s="561">
        <v>30</v>
      </c>
      <c r="I50" s="561">
        <v>100</v>
      </c>
      <c r="J50" s="611"/>
      <c r="K50" s="625" t="str">
        <f t="shared" si="11"/>
        <v>200 g</v>
      </c>
      <c r="L50" s="617">
        <f t="shared" si="2"/>
        <v>200</v>
      </c>
      <c r="M50" s="524">
        <f>C50/1000</f>
        <v>1E-4</v>
      </c>
      <c r="N50" s="524">
        <f>D50/1000</f>
        <v>2.9999999999999997E-4</v>
      </c>
      <c r="O50" s="524">
        <f t="shared" si="10"/>
        <v>1E-3</v>
      </c>
      <c r="P50" s="524">
        <f>F50/1000</f>
        <v>3.0000000000000001E-3</v>
      </c>
      <c r="Q50" s="560">
        <f t="shared" si="3"/>
        <v>0.01</v>
      </c>
      <c r="R50" s="524">
        <f>H50/1000</f>
        <v>0.03</v>
      </c>
      <c r="S50" s="613">
        <f>I50/1000</f>
        <v>0.1</v>
      </c>
      <c r="T50" s="626"/>
    </row>
    <row r="51" spans="1:20">
      <c r="A51" s="536" t="s">
        <v>287</v>
      </c>
      <c r="B51" s="536">
        <f>+B52+B55</f>
        <v>150</v>
      </c>
      <c r="C51" s="561"/>
      <c r="D51" s="561"/>
      <c r="E51" s="561">
        <f>+E52+E55</f>
        <v>0.8</v>
      </c>
      <c r="F51" s="561"/>
      <c r="G51" s="561">
        <f>+G52+G55</f>
        <v>8</v>
      </c>
      <c r="H51" s="561"/>
      <c r="I51" s="561"/>
      <c r="J51" s="611"/>
      <c r="K51" s="625" t="str">
        <f t="shared" si="11"/>
        <v xml:space="preserve">150 g </v>
      </c>
      <c r="L51" s="617">
        <f t="shared" si="2"/>
        <v>150</v>
      </c>
      <c r="M51" s="524"/>
      <c r="N51" s="524"/>
      <c r="O51" s="524">
        <f t="shared" si="10"/>
        <v>8.0000000000000004E-4</v>
      </c>
      <c r="P51" s="524"/>
      <c r="Q51" s="560">
        <f t="shared" si="3"/>
        <v>8.0000000000000002E-3</v>
      </c>
      <c r="R51" s="524"/>
      <c r="S51" s="613"/>
      <c r="T51" s="626"/>
    </row>
    <row r="52" spans="1:20">
      <c r="A52" s="536" t="s">
        <v>133</v>
      </c>
      <c r="B52" s="536">
        <v>100</v>
      </c>
      <c r="C52" s="561">
        <v>0.05</v>
      </c>
      <c r="D52" s="561">
        <v>0.16</v>
      </c>
      <c r="E52" s="561">
        <v>0.5</v>
      </c>
      <c r="F52" s="561">
        <v>1.6</v>
      </c>
      <c r="G52" s="561">
        <v>5</v>
      </c>
      <c r="H52" s="561">
        <v>16</v>
      </c>
      <c r="I52" s="561">
        <v>50</v>
      </c>
      <c r="J52" s="611"/>
      <c r="K52" s="625" t="str">
        <f t="shared" ref="K52:K72" si="12">A52</f>
        <v>100 g</v>
      </c>
      <c r="L52" s="617">
        <f t="shared" si="2"/>
        <v>100</v>
      </c>
      <c r="M52" s="524">
        <f t="shared" ref="M52:S52" si="13">C52/1000</f>
        <v>5.0000000000000002E-5</v>
      </c>
      <c r="N52" s="524">
        <f t="shared" si="13"/>
        <v>1.6000000000000001E-4</v>
      </c>
      <c r="O52" s="524">
        <f t="shared" si="10"/>
        <v>5.0000000000000001E-4</v>
      </c>
      <c r="P52" s="524">
        <f t="shared" si="13"/>
        <v>1.6000000000000001E-3</v>
      </c>
      <c r="Q52" s="560">
        <f t="shared" si="3"/>
        <v>5.0000000000000001E-3</v>
      </c>
      <c r="R52" s="524">
        <f t="shared" si="13"/>
        <v>1.6E-2</v>
      </c>
      <c r="S52" s="613">
        <f t="shared" si="13"/>
        <v>0.05</v>
      </c>
      <c r="T52" s="626"/>
    </row>
    <row r="53" spans="1:20">
      <c r="A53" s="536" t="s">
        <v>286</v>
      </c>
      <c r="B53" s="536">
        <f>+B55+B57</f>
        <v>75</v>
      </c>
      <c r="C53" s="561"/>
      <c r="D53" s="561"/>
      <c r="E53" s="561">
        <f>+E55+E57</f>
        <v>0.71</v>
      </c>
      <c r="F53" s="561"/>
      <c r="G53" s="561">
        <f>+G55+G57</f>
        <v>6.1</v>
      </c>
      <c r="H53" s="561"/>
      <c r="I53" s="561"/>
      <c r="J53" s="611"/>
      <c r="K53" s="625" t="str">
        <f t="shared" si="12"/>
        <v>75 g</v>
      </c>
      <c r="L53" s="617">
        <f t="shared" si="2"/>
        <v>75</v>
      </c>
      <c r="M53" s="524"/>
      <c r="N53" s="524"/>
      <c r="O53" s="524">
        <f t="shared" si="10"/>
        <v>7.0999999999999991E-4</v>
      </c>
      <c r="P53" s="524"/>
      <c r="Q53" s="560">
        <f t="shared" si="3"/>
        <v>6.0999999999999995E-3</v>
      </c>
      <c r="R53" s="524"/>
      <c r="S53" s="613"/>
      <c r="T53" s="626"/>
    </row>
    <row r="54" spans="1:20">
      <c r="A54" s="536" t="s">
        <v>321</v>
      </c>
      <c r="B54" s="536">
        <f>+B55+B60</f>
        <v>60</v>
      </c>
      <c r="C54" s="561"/>
      <c r="D54" s="561"/>
      <c r="E54" s="561">
        <f>+E55+E60</f>
        <v>0.5</v>
      </c>
      <c r="F54" s="561"/>
      <c r="G54" s="561">
        <f>+G55+G60</f>
        <v>5</v>
      </c>
      <c r="H54" s="561"/>
      <c r="I54" s="561"/>
      <c r="J54" s="611"/>
      <c r="K54" s="625" t="str">
        <f t="shared" si="12"/>
        <v>60 g</v>
      </c>
      <c r="L54" s="617">
        <f t="shared" si="2"/>
        <v>60</v>
      </c>
      <c r="M54" s="524"/>
      <c r="N54" s="524"/>
      <c r="O54" s="524">
        <f t="shared" si="10"/>
        <v>5.0000000000000001E-4</v>
      </c>
      <c r="P54" s="524"/>
      <c r="Q54" s="560">
        <f t="shared" si="3"/>
        <v>5.0000000000000001E-3</v>
      </c>
      <c r="R54" s="524"/>
      <c r="S54" s="613"/>
      <c r="T54" s="626"/>
    </row>
    <row r="55" spans="1:20">
      <c r="A55" s="536" t="s">
        <v>280</v>
      </c>
      <c r="B55" s="536">
        <v>50</v>
      </c>
      <c r="C55" s="561">
        <v>0.03</v>
      </c>
      <c r="D55" s="561">
        <v>0.1</v>
      </c>
      <c r="E55" s="561">
        <v>0.3</v>
      </c>
      <c r="F55" s="561">
        <v>1</v>
      </c>
      <c r="G55" s="561">
        <v>3</v>
      </c>
      <c r="H55" s="561">
        <v>10</v>
      </c>
      <c r="I55" s="561">
        <v>30</v>
      </c>
      <c r="J55" s="611"/>
      <c r="K55" s="625" t="str">
        <f t="shared" si="12"/>
        <v>50g</v>
      </c>
      <c r="L55" s="617">
        <f t="shared" si="2"/>
        <v>50</v>
      </c>
      <c r="M55" s="524">
        <f>C55/1000</f>
        <v>2.9999999999999997E-5</v>
      </c>
      <c r="N55" s="524">
        <f>D55/1000</f>
        <v>1E-4</v>
      </c>
      <c r="O55" s="524">
        <f t="shared" si="10"/>
        <v>2.9999999999999997E-4</v>
      </c>
      <c r="P55" s="524">
        <f>F55/1000</f>
        <v>1E-3</v>
      </c>
      <c r="Q55" s="560">
        <f t="shared" si="3"/>
        <v>3.0000000000000001E-3</v>
      </c>
      <c r="R55" s="524">
        <f>H55/1000</f>
        <v>0.01</v>
      </c>
      <c r="S55" s="613">
        <f>I55/1000</f>
        <v>0.03</v>
      </c>
      <c r="T55" s="626"/>
    </row>
    <row r="56" spans="1:20">
      <c r="A56" s="536" t="s">
        <v>284</v>
      </c>
      <c r="B56" s="536">
        <v>38</v>
      </c>
      <c r="C56" s="561"/>
      <c r="D56" s="561"/>
      <c r="E56" s="561">
        <f>+E58+E60+E61+E62+E63</f>
        <v>0.83</v>
      </c>
      <c r="F56" s="561"/>
      <c r="G56" s="561">
        <f>+G58+G60+G61+G62+G63</f>
        <v>7.3</v>
      </c>
      <c r="H56" s="561"/>
      <c r="I56" s="561"/>
      <c r="J56" s="611"/>
      <c r="K56" s="625" t="str">
        <f t="shared" si="12"/>
        <v>38 g</v>
      </c>
      <c r="L56" s="617">
        <f t="shared" si="2"/>
        <v>38</v>
      </c>
      <c r="M56" s="524"/>
      <c r="N56" s="524"/>
      <c r="O56" s="524">
        <f t="shared" si="10"/>
        <v>8.3000000000000001E-4</v>
      </c>
      <c r="P56" s="524"/>
      <c r="Q56" s="560">
        <f t="shared" si="3"/>
        <v>7.3000000000000001E-3</v>
      </c>
      <c r="R56" s="524"/>
      <c r="S56" s="613"/>
      <c r="T56" s="626"/>
    </row>
    <row r="57" spans="1:20">
      <c r="A57" s="536" t="s">
        <v>285</v>
      </c>
      <c r="B57" s="536">
        <f>+B58+B61</f>
        <v>25</v>
      </c>
      <c r="C57" s="561"/>
      <c r="D57" s="561"/>
      <c r="E57" s="561">
        <f>+E58+E61</f>
        <v>0.41000000000000003</v>
      </c>
      <c r="F57" s="561"/>
      <c r="G57" s="561">
        <f>+G58+G61</f>
        <v>3.1</v>
      </c>
      <c r="H57" s="561"/>
      <c r="I57" s="561"/>
      <c r="J57" s="611"/>
      <c r="K57" s="625" t="str">
        <f t="shared" si="12"/>
        <v>25 g</v>
      </c>
      <c r="L57" s="617">
        <f t="shared" si="2"/>
        <v>25</v>
      </c>
      <c r="M57" s="524"/>
      <c r="N57" s="524"/>
      <c r="O57" s="524">
        <f t="shared" si="10"/>
        <v>4.1000000000000005E-4</v>
      </c>
      <c r="P57" s="524"/>
      <c r="Q57" s="560">
        <f t="shared" si="3"/>
        <v>3.0999999999999999E-3</v>
      </c>
      <c r="R57" s="524"/>
      <c r="S57" s="613"/>
      <c r="T57" s="626"/>
    </row>
    <row r="58" spans="1:20">
      <c r="A58" s="536" t="s">
        <v>134</v>
      </c>
      <c r="B58" s="536">
        <v>20</v>
      </c>
      <c r="C58" s="561">
        <v>2.5000000000000001E-2</v>
      </c>
      <c r="D58" s="561">
        <v>0.08</v>
      </c>
      <c r="E58" s="561">
        <v>0.25</v>
      </c>
      <c r="F58" s="561">
        <v>0.8</v>
      </c>
      <c r="G58" s="561">
        <v>1.5</v>
      </c>
      <c r="H58" s="561">
        <v>8</v>
      </c>
      <c r="I58" s="561">
        <v>25</v>
      </c>
      <c r="J58" s="611"/>
      <c r="K58" s="625" t="str">
        <f t="shared" si="12"/>
        <v>20 g</v>
      </c>
      <c r="L58" s="617">
        <f t="shared" si="2"/>
        <v>20</v>
      </c>
      <c r="M58" s="524">
        <f t="shared" ref="M58:S58" si="14">C58/1000</f>
        <v>2.5000000000000001E-5</v>
      </c>
      <c r="N58" s="524">
        <f t="shared" si="14"/>
        <v>8.0000000000000007E-5</v>
      </c>
      <c r="O58" s="524">
        <f t="shared" si="10"/>
        <v>2.5000000000000001E-4</v>
      </c>
      <c r="P58" s="524">
        <f t="shared" si="14"/>
        <v>8.0000000000000004E-4</v>
      </c>
      <c r="Q58" s="560">
        <f t="shared" si="3"/>
        <v>1.5E-3</v>
      </c>
      <c r="R58" s="524">
        <f t="shared" si="14"/>
        <v>8.0000000000000002E-3</v>
      </c>
      <c r="S58" s="613">
        <f t="shared" si="14"/>
        <v>2.5000000000000001E-2</v>
      </c>
      <c r="T58" s="626"/>
    </row>
    <row r="59" spans="1:20">
      <c r="A59" s="536" t="s">
        <v>320</v>
      </c>
      <c r="B59" s="536">
        <f>+B60+B62+B63</f>
        <v>13</v>
      </c>
      <c r="C59" s="561"/>
      <c r="D59" s="561"/>
      <c r="E59" s="561">
        <f>+E60+E62+E63</f>
        <v>0.42000000000000004</v>
      </c>
      <c r="F59" s="561"/>
      <c r="G59" s="561"/>
      <c r="H59" s="561"/>
      <c r="I59" s="561"/>
      <c r="J59" s="611"/>
      <c r="K59" s="625" t="str">
        <f t="shared" si="12"/>
        <v xml:space="preserve">13 g </v>
      </c>
      <c r="L59" s="617">
        <f t="shared" si="2"/>
        <v>13</v>
      </c>
      <c r="M59" s="524"/>
      <c r="N59" s="524"/>
      <c r="O59" s="524">
        <f t="shared" si="10"/>
        <v>4.2000000000000002E-4</v>
      </c>
      <c r="P59" s="524"/>
      <c r="Q59" s="560">
        <f t="shared" si="3"/>
        <v>0</v>
      </c>
      <c r="R59" s="524"/>
      <c r="S59" s="613"/>
      <c r="T59" s="626"/>
    </row>
    <row r="60" spans="1:20">
      <c r="A60" s="536" t="s">
        <v>135</v>
      </c>
      <c r="B60" s="536">
        <v>10</v>
      </c>
      <c r="C60" s="561">
        <v>0.02</v>
      </c>
      <c r="D60" s="561">
        <v>0.06</v>
      </c>
      <c r="E60" s="561">
        <v>0.2</v>
      </c>
      <c r="F60" s="561">
        <v>0.6</v>
      </c>
      <c r="G60" s="561">
        <v>2</v>
      </c>
      <c r="H60" s="561">
        <v>6</v>
      </c>
      <c r="I60" s="561">
        <v>20</v>
      </c>
      <c r="J60" s="611"/>
      <c r="K60" s="625" t="str">
        <f t="shared" si="12"/>
        <v>10 g</v>
      </c>
      <c r="L60" s="536">
        <f t="shared" ref="L60:L72" si="15">+B60</f>
        <v>10</v>
      </c>
      <c r="M60" s="524">
        <f t="shared" ref="M60:S63" si="16">C60/1000</f>
        <v>2.0000000000000002E-5</v>
      </c>
      <c r="N60" s="524">
        <f t="shared" si="16"/>
        <v>5.9999999999999995E-5</v>
      </c>
      <c r="O60" s="524">
        <f t="shared" si="16"/>
        <v>2.0000000000000001E-4</v>
      </c>
      <c r="P60" s="524">
        <f t="shared" si="16"/>
        <v>5.9999999999999995E-4</v>
      </c>
      <c r="Q60" s="619">
        <f t="shared" si="16"/>
        <v>2E-3</v>
      </c>
      <c r="R60" s="524">
        <f t="shared" si="16"/>
        <v>6.0000000000000001E-3</v>
      </c>
      <c r="S60" s="613">
        <f t="shared" si="16"/>
        <v>0.02</v>
      </c>
      <c r="T60" s="626"/>
    </row>
    <row r="61" spans="1:20">
      <c r="A61" s="536" t="s">
        <v>136</v>
      </c>
      <c r="B61" s="536">
        <v>5</v>
      </c>
      <c r="C61" s="561">
        <v>1.6E-2</v>
      </c>
      <c r="D61" s="561">
        <v>0.05</v>
      </c>
      <c r="E61" s="561">
        <v>0.16</v>
      </c>
      <c r="F61" s="561">
        <v>0.5</v>
      </c>
      <c r="G61" s="561">
        <v>1.6</v>
      </c>
      <c r="H61" s="561">
        <v>5</v>
      </c>
      <c r="I61" s="561">
        <v>16</v>
      </c>
      <c r="J61" s="611"/>
      <c r="K61" s="625" t="str">
        <f t="shared" si="12"/>
        <v>5 g</v>
      </c>
      <c r="L61" s="536">
        <f t="shared" si="15"/>
        <v>5</v>
      </c>
      <c r="M61" s="524">
        <f t="shared" si="16"/>
        <v>1.5999999999999999E-5</v>
      </c>
      <c r="N61" s="524">
        <f t="shared" si="16"/>
        <v>5.0000000000000002E-5</v>
      </c>
      <c r="O61" s="524">
        <f t="shared" si="16"/>
        <v>1.6000000000000001E-4</v>
      </c>
      <c r="P61" s="524">
        <f t="shared" si="16"/>
        <v>5.0000000000000001E-4</v>
      </c>
      <c r="Q61" s="619">
        <f t="shared" si="16"/>
        <v>1.6000000000000001E-3</v>
      </c>
      <c r="R61" s="524">
        <f t="shared" si="16"/>
        <v>5.0000000000000001E-3</v>
      </c>
      <c r="S61" s="613">
        <f t="shared" si="16"/>
        <v>1.6E-2</v>
      </c>
      <c r="T61" s="626"/>
    </row>
    <row r="62" spans="1:20">
      <c r="A62" s="536" t="s">
        <v>137</v>
      </c>
      <c r="B62" s="536">
        <v>2</v>
      </c>
      <c r="C62" s="561">
        <v>1.2E-2</v>
      </c>
      <c r="D62" s="561">
        <v>0.04</v>
      </c>
      <c r="E62" s="561">
        <v>0.12</v>
      </c>
      <c r="F62" s="561">
        <v>0.4</v>
      </c>
      <c r="G62" s="561">
        <v>1.2</v>
      </c>
      <c r="H62" s="561">
        <v>4</v>
      </c>
      <c r="I62" s="561">
        <v>12</v>
      </c>
      <c r="J62" s="611"/>
      <c r="K62" s="625" t="str">
        <f t="shared" si="12"/>
        <v>2 g</v>
      </c>
      <c r="L62" s="536">
        <f t="shared" si="15"/>
        <v>2</v>
      </c>
      <c r="M62" s="524">
        <f t="shared" si="16"/>
        <v>1.2E-5</v>
      </c>
      <c r="N62" s="524">
        <f t="shared" si="16"/>
        <v>4.0000000000000003E-5</v>
      </c>
      <c r="O62" s="524">
        <f t="shared" si="16"/>
        <v>1.1999999999999999E-4</v>
      </c>
      <c r="P62" s="524">
        <f t="shared" si="16"/>
        <v>4.0000000000000002E-4</v>
      </c>
      <c r="Q62" s="619">
        <f t="shared" si="16"/>
        <v>1.1999999999999999E-3</v>
      </c>
      <c r="R62" s="524">
        <f t="shared" si="16"/>
        <v>4.0000000000000001E-3</v>
      </c>
      <c r="S62" s="613">
        <f t="shared" si="16"/>
        <v>1.2E-2</v>
      </c>
      <c r="T62" s="626"/>
    </row>
    <row r="63" spans="1:20">
      <c r="A63" s="536" t="s">
        <v>138</v>
      </c>
      <c r="B63" s="536">
        <v>1</v>
      </c>
      <c r="C63" s="561">
        <v>0.01</v>
      </c>
      <c r="D63" s="561">
        <v>0.03</v>
      </c>
      <c r="E63" s="561">
        <v>0.1</v>
      </c>
      <c r="F63" s="561">
        <v>0.3</v>
      </c>
      <c r="G63" s="561">
        <v>1</v>
      </c>
      <c r="H63" s="561">
        <v>3</v>
      </c>
      <c r="I63" s="561">
        <v>10</v>
      </c>
      <c r="J63" s="611"/>
      <c r="K63" s="625" t="str">
        <f t="shared" si="12"/>
        <v>1 g</v>
      </c>
      <c r="L63" s="536">
        <f t="shared" si="15"/>
        <v>1</v>
      </c>
      <c r="M63" s="524">
        <f t="shared" si="16"/>
        <v>1.0000000000000001E-5</v>
      </c>
      <c r="N63" s="524">
        <f t="shared" si="16"/>
        <v>2.9999999999999997E-5</v>
      </c>
      <c r="O63" s="524">
        <f t="shared" si="16"/>
        <v>1E-4</v>
      </c>
      <c r="P63" s="524">
        <f t="shared" si="16"/>
        <v>2.9999999999999997E-4</v>
      </c>
      <c r="Q63" s="619">
        <f t="shared" si="16"/>
        <v>1E-3</v>
      </c>
      <c r="R63" s="524">
        <f t="shared" si="16"/>
        <v>3.0000000000000001E-3</v>
      </c>
      <c r="S63" s="613">
        <f t="shared" si="16"/>
        <v>0.01</v>
      </c>
      <c r="T63" s="626"/>
    </row>
    <row r="64" spans="1:20">
      <c r="A64" s="536" t="s">
        <v>139</v>
      </c>
      <c r="B64" s="562">
        <v>0.5</v>
      </c>
      <c r="C64" s="561">
        <v>8.0000000000000002E-3</v>
      </c>
      <c r="D64" s="561">
        <v>2.5000000000000001E-2</v>
      </c>
      <c r="E64" s="561">
        <v>0.08</v>
      </c>
      <c r="F64" s="561">
        <v>0.25</v>
      </c>
      <c r="G64" s="561">
        <v>0.8</v>
      </c>
      <c r="H64" s="561">
        <v>2.5</v>
      </c>
      <c r="I64" s="561"/>
      <c r="J64" s="611"/>
      <c r="K64" s="625" t="str">
        <f t="shared" si="12"/>
        <v>500 mg</v>
      </c>
      <c r="L64" s="562">
        <f t="shared" si="15"/>
        <v>0.5</v>
      </c>
      <c r="M64" s="524">
        <f t="shared" ref="M64:R66" si="17">C64/1000</f>
        <v>7.9999999999999996E-6</v>
      </c>
      <c r="N64" s="524">
        <f t="shared" si="17"/>
        <v>2.5000000000000001E-5</v>
      </c>
      <c r="O64" s="524">
        <f t="shared" si="17"/>
        <v>8.0000000000000007E-5</v>
      </c>
      <c r="P64" s="524">
        <f t="shared" si="17"/>
        <v>2.5000000000000001E-4</v>
      </c>
      <c r="Q64" s="619">
        <f t="shared" si="17"/>
        <v>8.0000000000000004E-4</v>
      </c>
      <c r="R64" s="524">
        <f t="shared" si="17"/>
        <v>2.5000000000000001E-3</v>
      </c>
      <c r="S64" s="613"/>
      <c r="T64" s="626"/>
    </row>
    <row r="65" spans="1:20">
      <c r="A65" s="536" t="s">
        <v>140</v>
      </c>
      <c r="B65" s="562">
        <v>0.2</v>
      </c>
      <c r="C65" s="561">
        <v>6.0000000000000001E-3</v>
      </c>
      <c r="D65" s="561">
        <v>0.02</v>
      </c>
      <c r="E65" s="561">
        <v>0.06</v>
      </c>
      <c r="F65" s="561">
        <v>0.2</v>
      </c>
      <c r="G65" s="561">
        <v>0.6</v>
      </c>
      <c r="H65" s="561">
        <v>2</v>
      </c>
      <c r="I65" s="561"/>
      <c r="J65" s="611"/>
      <c r="K65" s="625" t="str">
        <f t="shared" si="12"/>
        <v>200 mg</v>
      </c>
      <c r="L65" s="562">
        <f t="shared" si="15"/>
        <v>0.2</v>
      </c>
      <c r="M65" s="524">
        <f t="shared" si="17"/>
        <v>6.0000000000000002E-6</v>
      </c>
      <c r="N65" s="524">
        <f t="shared" si="17"/>
        <v>2.0000000000000002E-5</v>
      </c>
      <c r="O65" s="524">
        <f t="shared" si="17"/>
        <v>5.9999999999999995E-5</v>
      </c>
      <c r="P65" s="524">
        <f t="shared" si="17"/>
        <v>2.0000000000000001E-4</v>
      </c>
      <c r="Q65" s="619">
        <f t="shared" si="17"/>
        <v>5.9999999999999995E-4</v>
      </c>
      <c r="R65" s="524">
        <f t="shared" si="17"/>
        <v>2E-3</v>
      </c>
      <c r="S65" s="613"/>
      <c r="T65" s="626"/>
    </row>
    <row r="66" spans="1:20">
      <c r="A66" s="536" t="s">
        <v>141</v>
      </c>
      <c r="B66" s="562">
        <v>0.1</v>
      </c>
      <c r="C66" s="561">
        <v>5.0000000000000001E-3</v>
      </c>
      <c r="D66" s="561">
        <v>1.6E-2</v>
      </c>
      <c r="E66" s="561">
        <v>0.05</v>
      </c>
      <c r="F66" s="561">
        <v>0.16</v>
      </c>
      <c r="G66" s="561">
        <v>0.5</v>
      </c>
      <c r="H66" s="561">
        <v>1.6</v>
      </c>
      <c r="I66" s="561"/>
      <c r="J66" s="611"/>
      <c r="K66" s="625" t="str">
        <f t="shared" si="12"/>
        <v>100 mg</v>
      </c>
      <c r="L66" s="562">
        <f t="shared" si="15"/>
        <v>0.1</v>
      </c>
      <c r="M66" s="524">
        <f t="shared" si="17"/>
        <v>5.0000000000000004E-6</v>
      </c>
      <c r="N66" s="524">
        <f t="shared" si="17"/>
        <v>1.5999999999999999E-5</v>
      </c>
      <c r="O66" s="524">
        <f t="shared" si="17"/>
        <v>5.0000000000000002E-5</v>
      </c>
      <c r="P66" s="524">
        <f t="shared" si="17"/>
        <v>1.6000000000000001E-4</v>
      </c>
      <c r="Q66" s="619">
        <f t="shared" si="17"/>
        <v>5.0000000000000001E-4</v>
      </c>
      <c r="R66" s="524">
        <f t="shared" si="17"/>
        <v>1.6000000000000001E-3</v>
      </c>
      <c r="S66" s="613"/>
      <c r="T66" s="626"/>
    </row>
    <row r="67" spans="1:20">
      <c r="A67" s="536" t="s">
        <v>142</v>
      </c>
      <c r="B67" s="562">
        <v>0.05</v>
      </c>
      <c r="C67" s="561">
        <v>4.0000000000000001E-3</v>
      </c>
      <c r="D67" s="561">
        <v>1.2E-2</v>
      </c>
      <c r="E67" s="561">
        <v>0.04</v>
      </c>
      <c r="F67" s="561">
        <v>0.12</v>
      </c>
      <c r="G67" s="561">
        <v>0.4</v>
      </c>
      <c r="H67" s="561"/>
      <c r="I67" s="561"/>
      <c r="J67" s="611"/>
      <c r="K67" s="625" t="str">
        <f t="shared" si="12"/>
        <v>50 mg</v>
      </c>
      <c r="L67" s="562">
        <f t="shared" si="15"/>
        <v>0.05</v>
      </c>
      <c r="M67" s="524">
        <f t="shared" ref="M67:Q72" si="18">C67/1000</f>
        <v>3.9999999999999998E-6</v>
      </c>
      <c r="N67" s="524">
        <f t="shared" si="18"/>
        <v>1.2E-5</v>
      </c>
      <c r="O67" s="524">
        <f t="shared" si="18"/>
        <v>4.0000000000000003E-5</v>
      </c>
      <c r="P67" s="524">
        <f t="shared" si="18"/>
        <v>1.1999999999999999E-4</v>
      </c>
      <c r="Q67" s="619">
        <f t="shared" si="18"/>
        <v>4.0000000000000002E-4</v>
      </c>
      <c r="R67" s="524"/>
      <c r="S67" s="613"/>
      <c r="T67" s="626"/>
    </row>
    <row r="68" spans="1:20">
      <c r="A68" s="536" t="s">
        <v>143</v>
      </c>
      <c r="B68" s="562">
        <v>0.02</v>
      </c>
      <c r="C68" s="561">
        <v>3.0000000000000001E-3</v>
      </c>
      <c r="D68" s="561">
        <v>0.01</v>
      </c>
      <c r="E68" s="561">
        <v>0.03</v>
      </c>
      <c r="F68" s="561">
        <v>0.1</v>
      </c>
      <c r="G68" s="561">
        <v>0.3</v>
      </c>
      <c r="H68" s="561"/>
      <c r="I68" s="561"/>
      <c r="J68" s="611"/>
      <c r="K68" s="625" t="str">
        <f t="shared" si="12"/>
        <v>20 mg</v>
      </c>
      <c r="L68" s="562">
        <f t="shared" si="15"/>
        <v>0.02</v>
      </c>
      <c r="M68" s="524">
        <f t="shared" si="18"/>
        <v>3.0000000000000001E-6</v>
      </c>
      <c r="N68" s="524">
        <f t="shared" si="18"/>
        <v>1.0000000000000001E-5</v>
      </c>
      <c r="O68" s="524">
        <f t="shared" si="18"/>
        <v>2.9999999999999997E-5</v>
      </c>
      <c r="P68" s="524">
        <f t="shared" si="18"/>
        <v>1E-4</v>
      </c>
      <c r="Q68" s="619">
        <f t="shared" si="18"/>
        <v>2.9999999999999997E-4</v>
      </c>
      <c r="R68" s="524"/>
      <c r="S68" s="613"/>
      <c r="T68" s="626"/>
    </row>
    <row r="69" spans="1:20">
      <c r="A69" s="536" t="s">
        <v>144</v>
      </c>
      <c r="B69" s="562">
        <v>0.01</v>
      </c>
      <c r="C69" s="561">
        <v>3.0000000000000001E-3</v>
      </c>
      <c r="D69" s="561">
        <v>8.0000000000000002E-3</v>
      </c>
      <c r="E69" s="561">
        <v>2.5000000000000001E-2</v>
      </c>
      <c r="F69" s="561">
        <v>0.08</v>
      </c>
      <c r="G69" s="561">
        <v>0.25</v>
      </c>
      <c r="H69" s="561"/>
      <c r="I69" s="561"/>
      <c r="J69" s="611"/>
      <c r="K69" s="625" t="str">
        <f t="shared" si="12"/>
        <v>10 mg</v>
      </c>
      <c r="L69" s="562">
        <f t="shared" si="15"/>
        <v>0.01</v>
      </c>
      <c r="M69" s="524">
        <f t="shared" si="18"/>
        <v>3.0000000000000001E-6</v>
      </c>
      <c r="N69" s="524">
        <f t="shared" si="18"/>
        <v>7.9999999999999996E-6</v>
      </c>
      <c r="O69" s="524">
        <f t="shared" si="18"/>
        <v>2.5000000000000001E-5</v>
      </c>
      <c r="P69" s="524">
        <f t="shared" si="18"/>
        <v>8.0000000000000007E-5</v>
      </c>
      <c r="Q69" s="619">
        <f t="shared" si="18"/>
        <v>2.5000000000000001E-4</v>
      </c>
      <c r="R69" s="524"/>
      <c r="S69" s="613"/>
      <c r="T69" s="626"/>
    </row>
    <row r="70" spans="1:20">
      <c r="A70" s="536" t="s">
        <v>145</v>
      </c>
      <c r="B70" s="562">
        <v>5.0000000000000001E-3</v>
      </c>
      <c r="C70" s="561">
        <v>3.0000000000000001E-3</v>
      </c>
      <c r="D70" s="561">
        <v>6.0000000000000001E-3</v>
      </c>
      <c r="E70" s="561">
        <v>0.02</v>
      </c>
      <c r="F70" s="561">
        <v>0.06</v>
      </c>
      <c r="G70" s="561">
        <v>0.2</v>
      </c>
      <c r="H70" s="561"/>
      <c r="I70" s="561"/>
      <c r="J70" s="611"/>
      <c r="K70" s="625" t="str">
        <f t="shared" si="12"/>
        <v>5 mg</v>
      </c>
      <c r="L70" s="562">
        <f t="shared" si="15"/>
        <v>5.0000000000000001E-3</v>
      </c>
      <c r="M70" s="524">
        <f t="shared" si="18"/>
        <v>3.0000000000000001E-6</v>
      </c>
      <c r="N70" s="524">
        <f t="shared" si="18"/>
        <v>6.0000000000000002E-6</v>
      </c>
      <c r="O70" s="524">
        <f t="shared" si="18"/>
        <v>2.0000000000000002E-5</v>
      </c>
      <c r="P70" s="524">
        <f t="shared" si="18"/>
        <v>5.9999999999999995E-5</v>
      </c>
      <c r="Q70" s="619">
        <f t="shared" si="18"/>
        <v>2.0000000000000001E-4</v>
      </c>
      <c r="R70" s="524"/>
      <c r="S70" s="613"/>
      <c r="T70" s="626"/>
    </row>
    <row r="71" spans="1:20">
      <c r="A71" s="536" t="s">
        <v>146</v>
      </c>
      <c r="B71" s="562">
        <v>2E-3</v>
      </c>
      <c r="C71" s="561">
        <v>3.0000000000000001E-3</v>
      </c>
      <c r="D71" s="561">
        <v>6.0000000000000001E-3</v>
      </c>
      <c r="E71" s="561">
        <v>0.02</v>
      </c>
      <c r="F71" s="561">
        <v>0.06</v>
      </c>
      <c r="G71" s="561">
        <v>0.2</v>
      </c>
      <c r="H71" s="561"/>
      <c r="I71" s="561"/>
      <c r="J71" s="611"/>
      <c r="K71" s="625" t="str">
        <f t="shared" si="12"/>
        <v>2 mg</v>
      </c>
      <c r="L71" s="562">
        <f t="shared" si="15"/>
        <v>2E-3</v>
      </c>
      <c r="M71" s="524">
        <f t="shared" si="18"/>
        <v>3.0000000000000001E-6</v>
      </c>
      <c r="N71" s="524">
        <f t="shared" si="18"/>
        <v>6.0000000000000002E-6</v>
      </c>
      <c r="O71" s="524">
        <f t="shared" si="18"/>
        <v>2.0000000000000002E-5</v>
      </c>
      <c r="P71" s="524">
        <f t="shared" si="18"/>
        <v>5.9999999999999995E-5</v>
      </c>
      <c r="Q71" s="619">
        <f t="shared" si="18"/>
        <v>2.0000000000000001E-4</v>
      </c>
      <c r="R71" s="524"/>
      <c r="S71" s="613"/>
      <c r="T71" s="626"/>
    </row>
    <row r="72" spans="1:20" ht="13.5" thickBot="1">
      <c r="A72" s="536" t="s">
        <v>147</v>
      </c>
      <c r="B72" s="562">
        <v>1E-3</v>
      </c>
      <c r="C72" s="561">
        <v>3.0000000000000001E-3</v>
      </c>
      <c r="D72" s="561">
        <v>6.0000000000000001E-3</v>
      </c>
      <c r="E72" s="561">
        <v>0.02</v>
      </c>
      <c r="F72" s="561">
        <v>0.06</v>
      </c>
      <c r="G72" s="561">
        <v>0.2</v>
      </c>
      <c r="H72" s="561"/>
      <c r="I72" s="561"/>
      <c r="J72" s="611"/>
      <c r="K72" s="627" t="str">
        <f t="shared" si="12"/>
        <v>1 mg</v>
      </c>
      <c r="L72" s="628">
        <f t="shared" si="15"/>
        <v>1E-3</v>
      </c>
      <c r="M72" s="629">
        <f t="shared" si="18"/>
        <v>3.0000000000000001E-6</v>
      </c>
      <c r="N72" s="629">
        <f t="shared" si="18"/>
        <v>6.0000000000000002E-6</v>
      </c>
      <c r="O72" s="629">
        <f t="shared" si="18"/>
        <v>2.0000000000000002E-5</v>
      </c>
      <c r="P72" s="629">
        <f t="shared" si="18"/>
        <v>5.9999999999999995E-5</v>
      </c>
      <c r="Q72" s="630">
        <f t="shared" si="18"/>
        <v>2.0000000000000001E-4</v>
      </c>
      <c r="R72" s="629"/>
      <c r="S72" s="631"/>
      <c r="T72" s="632"/>
    </row>
    <row r="73" spans="1:20">
      <c r="L73" s="618"/>
    </row>
  </sheetData>
  <sheetProtection algorithmName="SHA-512" hashValue="ihoaxG27TaENssRjjVIL1ZObAYS9S2ELt38cTDhOtnNHShOFI1OlQKc2xObdTiJO/hIhTkUDNCk29RuELRseHA==" saltValue="Vq6sNMRWHSn0fHeqzVJcnA==" spinCount="100000" sheet="1" objects="1" scenarios="1"/>
  <autoFilter ref="A1:A74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761944" r:id="rId4">
          <objectPr defaultSize="0" r:id="rId5">
            <anchor moveWithCells="1">
              <from>
                <xdr:col>9</xdr:col>
                <xdr:colOff>76200</xdr:colOff>
                <xdr:row>0</xdr:row>
                <xdr:rowOff>57150</xdr:rowOff>
              </from>
              <to>
                <xdr:col>9</xdr:col>
                <xdr:colOff>438150</xdr:colOff>
                <xdr:row>0</xdr:row>
                <xdr:rowOff>247650</xdr:rowOff>
              </to>
            </anchor>
          </objectPr>
        </oleObject>
      </mc:Choice>
      <mc:Fallback>
        <oleObject shapeId="761944" r:id="rId4"/>
      </mc:Fallback>
    </mc:AlternateContent>
    <mc:AlternateContent xmlns:mc="http://schemas.openxmlformats.org/markup-compatibility/2006">
      <mc:Choice Requires="x14">
        <oleObject shapeId="761946" r:id="rId6">
          <objectPr defaultSize="0" r:id="rId5">
            <anchor moveWithCells="1">
              <from>
                <xdr:col>19</xdr:col>
                <xdr:colOff>28575</xdr:colOff>
                <xdr:row>0</xdr:row>
                <xdr:rowOff>66675</xdr:rowOff>
              </from>
              <to>
                <xdr:col>19</xdr:col>
                <xdr:colOff>390525</xdr:colOff>
                <xdr:row>0</xdr:row>
                <xdr:rowOff>257175</xdr:rowOff>
              </to>
            </anchor>
          </objectPr>
        </oleObject>
      </mc:Choice>
      <mc:Fallback>
        <oleObject shapeId="761946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6"/>
  <sheetViews>
    <sheetView topLeftCell="A8" zoomScale="130" zoomScaleNormal="130" workbookViewId="0">
      <selection activeCell="J86" sqref="J86"/>
    </sheetView>
  </sheetViews>
  <sheetFormatPr baseColWidth="10" defaultRowHeight="12.75"/>
  <cols>
    <col min="1" max="1" width="2.7109375" customWidth="1"/>
    <col min="2" max="2" width="10.5703125" customWidth="1"/>
    <col min="3" max="3" width="13.28515625" customWidth="1"/>
    <col min="4" max="4" width="8.7109375" customWidth="1"/>
    <col min="5" max="5" width="7.85546875" customWidth="1"/>
    <col min="6" max="6" width="7.140625" customWidth="1"/>
    <col min="7" max="9" width="7.85546875" customWidth="1"/>
    <col min="10" max="10" width="8.5703125" customWidth="1"/>
    <col min="11" max="11" width="7.5703125" customWidth="1"/>
    <col min="12" max="12" width="7.140625" customWidth="1"/>
    <col min="13" max="13" width="8.85546875" customWidth="1"/>
    <col min="14" max="14" width="2.7109375" hidden="1" customWidth="1"/>
    <col min="15" max="15" width="10.5703125" customWidth="1"/>
  </cols>
  <sheetData>
    <row r="1" spans="2:18" ht="6.75" customHeight="1"/>
    <row r="2" spans="2:18" ht="36" customHeight="1">
      <c r="C2" s="412"/>
      <c r="D2" s="1156" t="s">
        <v>165</v>
      </c>
      <c r="E2" s="1156"/>
      <c r="F2" s="1156"/>
      <c r="G2" s="1156"/>
      <c r="H2" s="1156"/>
      <c r="I2" s="1156"/>
      <c r="J2" s="1156"/>
      <c r="K2" s="1156"/>
      <c r="L2" s="412"/>
      <c r="M2" s="412"/>
      <c r="N2" s="413"/>
    </row>
    <row r="3" spans="2:18" ht="12.95" customHeight="1">
      <c r="B3" s="1091" t="s">
        <v>166</v>
      </c>
      <c r="C3" s="1091"/>
      <c r="D3" s="1091"/>
      <c r="E3" s="1091"/>
      <c r="F3" s="1091"/>
      <c r="G3" s="1091"/>
      <c r="H3" s="1091"/>
      <c r="I3" s="1091"/>
      <c r="J3" s="1091"/>
      <c r="K3" s="1091"/>
      <c r="L3" s="1091"/>
      <c r="M3" s="1091"/>
      <c r="N3" s="1091"/>
    </row>
    <row r="4" spans="2:18" ht="12.95" customHeight="1">
      <c r="B4" s="1092" t="s">
        <v>369</v>
      </c>
      <c r="C4" s="1092"/>
      <c r="D4" s="1092"/>
      <c r="E4" s="1092"/>
      <c r="F4" s="1092"/>
      <c r="G4" s="1092"/>
      <c r="H4" s="1092"/>
      <c r="I4" s="1092"/>
      <c r="J4" s="1092"/>
      <c r="K4" s="1092"/>
      <c r="L4" s="1092"/>
      <c r="M4" s="1092"/>
      <c r="N4" s="1092"/>
      <c r="Q4" s="462"/>
    </row>
    <row r="5" spans="2:18" ht="7.5" customHeight="1">
      <c r="Q5" s="463"/>
    </row>
    <row r="6" spans="2:18" ht="24.95" customHeight="1">
      <c r="B6" s="1157" t="s">
        <v>162</v>
      </c>
      <c r="C6" s="1157"/>
      <c r="D6" s="1157"/>
      <c r="E6" s="1157"/>
      <c r="F6" s="1157"/>
      <c r="G6" s="1157"/>
      <c r="H6" s="1157"/>
      <c r="I6" s="1157"/>
      <c r="J6" s="1157"/>
      <c r="K6" s="1157"/>
      <c r="L6" s="1157"/>
      <c r="M6" s="1157"/>
      <c r="Q6" s="464"/>
    </row>
    <row r="7" spans="2:18" ht="6.75" customHeight="1">
      <c r="B7" s="414"/>
      <c r="C7" s="415"/>
      <c r="D7" s="415"/>
      <c r="E7" s="415"/>
      <c r="F7" s="415"/>
      <c r="G7" s="415"/>
      <c r="H7" s="415"/>
      <c r="I7" s="415"/>
      <c r="J7" s="415"/>
      <c r="K7" s="415"/>
      <c r="L7" s="415"/>
      <c r="M7" s="415"/>
      <c r="Q7" s="464"/>
    </row>
    <row r="8" spans="2:18" ht="15.75" customHeight="1">
      <c r="B8" s="414"/>
      <c r="C8" s="1153" t="s">
        <v>167</v>
      </c>
      <c r="D8" s="1153"/>
      <c r="E8" s="1158">
        <f>DATOS!D6</f>
        <v>0</v>
      </c>
      <c r="F8" s="1158"/>
      <c r="G8" s="1153" t="s">
        <v>168</v>
      </c>
      <c r="H8" s="1153"/>
      <c r="I8" s="1153"/>
      <c r="J8" s="490">
        <f>DATOS!D7</f>
        <v>0</v>
      </c>
      <c r="K8" s="415"/>
      <c r="L8" s="1129"/>
      <c r="M8" s="1129"/>
      <c r="Q8" s="464"/>
    </row>
    <row r="9" spans="2:18" ht="9.9499999999999993" customHeight="1">
      <c r="K9" s="416"/>
      <c r="L9" s="1159"/>
      <c r="M9" s="1159"/>
    </row>
    <row r="10" spans="2:18" ht="24" customHeight="1">
      <c r="B10" s="1136" t="s">
        <v>270</v>
      </c>
      <c r="C10" s="1126"/>
      <c r="D10" s="1126"/>
      <c r="E10" s="1126"/>
      <c r="F10" s="1126"/>
      <c r="G10" s="1126"/>
      <c r="H10" s="1126"/>
      <c r="I10" s="1126"/>
      <c r="J10" s="1126"/>
      <c r="K10" s="1126"/>
      <c r="L10" s="1126"/>
      <c r="M10" s="1127"/>
    </row>
    <row r="11" spans="2:18" ht="8.1" customHeight="1">
      <c r="B11" s="417"/>
      <c r="C11" s="418"/>
      <c r="D11" s="418"/>
      <c r="E11" s="418"/>
      <c r="F11" s="418"/>
      <c r="G11" s="418"/>
      <c r="H11" s="418"/>
      <c r="I11" s="418"/>
      <c r="J11" s="418"/>
      <c r="K11" s="418"/>
      <c r="L11" s="418"/>
      <c r="M11" s="419"/>
    </row>
    <row r="12" spans="2:18" ht="14.25">
      <c r="B12" s="496" t="s">
        <v>169</v>
      </c>
      <c r="C12" s="1142">
        <f>DATOS!C9</f>
        <v>0</v>
      </c>
      <c r="D12" s="1142"/>
      <c r="E12" s="1142"/>
      <c r="F12" s="1142"/>
      <c r="G12" s="1142"/>
      <c r="H12" s="1142"/>
      <c r="I12" s="1142"/>
      <c r="J12" s="1142"/>
      <c r="K12" s="1142"/>
      <c r="L12" s="1142"/>
      <c r="M12" s="1143"/>
    </row>
    <row r="13" spans="2:18" s="420" customFormat="1" ht="14.25">
      <c r="B13" s="497" t="s">
        <v>170</v>
      </c>
      <c r="C13" s="492"/>
      <c r="D13" s="492"/>
      <c r="E13" s="492"/>
      <c r="F13" s="492"/>
      <c r="G13" s="492"/>
      <c r="H13" s="492"/>
      <c r="I13" s="492"/>
      <c r="J13" s="492"/>
      <c r="K13" s="492"/>
      <c r="L13" s="492"/>
      <c r="M13" s="493"/>
      <c r="R13"/>
    </row>
    <row r="14" spans="2:18" ht="14.25">
      <c r="B14" s="496" t="s">
        <v>354</v>
      </c>
      <c r="C14" s="1142">
        <f>DATOS!C10</f>
        <v>0</v>
      </c>
      <c r="D14" s="1142"/>
      <c r="E14" s="1142"/>
      <c r="F14" s="1142"/>
      <c r="G14" s="1142"/>
      <c r="H14" s="1142"/>
      <c r="I14" s="1142"/>
      <c r="J14" s="1142"/>
      <c r="K14" s="1142"/>
      <c r="L14" s="1142"/>
      <c r="M14" s="1143"/>
    </row>
    <row r="15" spans="2:18" s="420" customFormat="1" ht="14.25">
      <c r="B15" s="497" t="s">
        <v>171</v>
      </c>
      <c r="C15" s="492"/>
      <c r="D15" s="492"/>
      <c r="E15" s="492"/>
      <c r="F15" s="492"/>
      <c r="G15" s="492"/>
      <c r="H15" s="492"/>
      <c r="J15" s="492"/>
      <c r="K15" s="492"/>
      <c r="L15" s="492"/>
      <c r="M15" s="493"/>
    </row>
    <row r="16" spans="2:18" ht="14.25">
      <c r="B16" s="496" t="s">
        <v>172</v>
      </c>
      <c r="C16" s="1142">
        <f>DATOS!C11</f>
        <v>0</v>
      </c>
      <c r="D16" s="1142"/>
      <c r="E16" s="1142"/>
      <c r="F16" s="1142"/>
      <c r="G16" s="1142"/>
      <c r="H16" s="1142"/>
      <c r="I16" s="1142"/>
      <c r="J16" s="1142"/>
      <c r="K16" s="1142"/>
      <c r="L16" s="1142"/>
      <c r="M16" s="1143"/>
    </row>
    <row r="17" spans="2:13" s="420" customFormat="1" ht="14.25">
      <c r="B17" s="497" t="s">
        <v>173</v>
      </c>
      <c r="C17" s="494"/>
      <c r="D17" s="494"/>
      <c r="E17" s="494"/>
      <c r="F17" s="494"/>
      <c r="G17" s="494"/>
      <c r="H17" s="494"/>
      <c r="I17" s="494"/>
      <c r="J17" s="494"/>
      <c r="K17" s="494"/>
      <c r="L17" s="494"/>
      <c r="M17" s="495"/>
    </row>
    <row r="18" spans="2:13" ht="2.25" customHeight="1">
      <c r="B18" s="422"/>
      <c r="C18" s="423"/>
      <c r="D18" s="423"/>
      <c r="E18" s="423"/>
      <c r="F18" s="423"/>
      <c r="G18" s="423"/>
      <c r="H18" s="423"/>
      <c r="I18" s="423"/>
      <c r="J18" s="423"/>
      <c r="K18" s="423"/>
      <c r="L18" s="423"/>
      <c r="M18" s="424"/>
    </row>
    <row r="19" spans="2:13" ht="5.0999999999999996" customHeight="1">
      <c r="B19" s="425"/>
      <c r="C19" s="425"/>
      <c r="D19" s="425"/>
      <c r="E19" s="425"/>
      <c r="F19" s="425"/>
      <c r="G19" s="425"/>
      <c r="H19" s="425"/>
      <c r="I19" s="425"/>
      <c r="J19" s="425"/>
      <c r="K19" s="425"/>
      <c r="L19" s="425"/>
      <c r="M19" s="425"/>
    </row>
    <row r="20" spans="2:13" ht="24" customHeight="1">
      <c r="B20" s="1136" t="s">
        <v>271</v>
      </c>
      <c r="C20" s="1126"/>
      <c r="D20" s="1126"/>
      <c r="E20" s="1126"/>
      <c r="F20" s="1126"/>
      <c r="G20" s="1126"/>
      <c r="H20" s="1126"/>
      <c r="I20" s="1126"/>
      <c r="J20" s="1126"/>
      <c r="K20" s="1126"/>
      <c r="L20" s="1126"/>
      <c r="M20" s="1127"/>
    </row>
    <row r="21" spans="2:13" ht="9" customHeight="1">
      <c r="B21" s="426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8"/>
    </row>
    <row r="22" spans="2:13" ht="14.25">
      <c r="B22" s="1150" t="s">
        <v>7</v>
      </c>
      <c r="C22" s="1144"/>
      <c r="D22" s="1147">
        <f>DATOS!C16</f>
        <v>0</v>
      </c>
      <c r="E22" s="1147"/>
      <c r="F22" s="1147"/>
      <c r="H22" s="1144" t="s">
        <v>329</v>
      </c>
      <c r="I22" s="1144"/>
      <c r="J22" s="1148">
        <f>DATOS!C20/1000</f>
        <v>0</v>
      </c>
      <c r="K22" s="1148"/>
      <c r="L22" s="508" t="s">
        <v>335</v>
      </c>
      <c r="M22" s="429"/>
    </row>
    <row r="23" spans="2:13" s="420" customFormat="1" ht="9" customHeight="1">
      <c r="B23" s="1145" t="s">
        <v>175</v>
      </c>
      <c r="C23" s="1146"/>
      <c r="D23" s="502"/>
      <c r="E23" s="502"/>
      <c r="F23" s="502"/>
      <c r="H23" s="1146" t="s">
        <v>330</v>
      </c>
      <c r="I23" s="1146"/>
      <c r="J23" s="1147"/>
      <c r="K23" s="1147"/>
      <c r="L23" s="1147"/>
      <c r="M23" s="430"/>
    </row>
    <row r="24" spans="2:13" ht="14.25">
      <c r="B24" s="1150" t="s">
        <v>176</v>
      </c>
      <c r="C24" s="1144"/>
      <c r="D24" s="1147">
        <f>DATOS!C17</f>
        <v>0</v>
      </c>
      <c r="E24" s="1147"/>
      <c r="F24" s="1147"/>
      <c r="H24" s="1144" t="s">
        <v>257</v>
      </c>
      <c r="I24" s="1144"/>
      <c r="J24" s="1148">
        <f>DATOS!C21/1000</f>
        <v>0</v>
      </c>
      <c r="K24" s="1148"/>
      <c r="L24" s="508" t="s">
        <v>335</v>
      </c>
      <c r="M24" s="429"/>
    </row>
    <row r="25" spans="2:13" s="420" customFormat="1" ht="9" customHeight="1">
      <c r="B25" s="1145" t="s">
        <v>177</v>
      </c>
      <c r="C25" s="1146"/>
      <c r="D25" s="502"/>
      <c r="E25" s="502"/>
      <c r="F25" s="502"/>
      <c r="H25" s="1146" t="s">
        <v>258</v>
      </c>
      <c r="I25" s="1146"/>
      <c r="J25" s="1147"/>
      <c r="K25" s="1147"/>
      <c r="L25" s="1147"/>
      <c r="M25" s="430"/>
    </row>
    <row r="26" spans="2:13" ht="14.25">
      <c r="B26" s="1150" t="s">
        <v>178</v>
      </c>
      <c r="C26" s="1144"/>
      <c r="D26" s="1147">
        <f>DATOS!C18</f>
        <v>0</v>
      </c>
      <c r="E26" s="1147"/>
      <c r="F26" s="1147"/>
      <c r="H26" s="1144" t="s">
        <v>179</v>
      </c>
      <c r="I26" s="1144"/>
      <c r="J26" s="1148">
        <f>DATOS!C22</f>
        <v>0</v>
      </c>
      <c r="K26" s="1148"/>
      <c r="L26" s="1148"/>
      <c r="M26" s="429"/>
    </row>
    <row r="27" spans="2:13" s="420" customFormat="1" ht="9" customHeight="1">
      <c r="B27" s="1145" t="s">
        <v>180</v>
      </c>
      <c r="C27" s="1146"/>
      <c r="D27" s="502"/>
      <c r="E27" s="502"/>
      <c r="F27" s="502"/>
      <c r="H27" s="1146" t="s">
        <v>54</v>
      </c>
      <c r="I27" s="1146"/>
      <c r="J27" s="1147"/>
      <c r="K27" s="1147"/>
      <c r="L27" s="1147"/>
      <c r="M27" s="430"/>
    </row>
    <row r="28" spans="2:13" ht="14.25">
      <c r="B28" s="1150" t="s">
        <v>181</v>
      </c>
      <c r="C28" s="1144"/>
      <c r="D28" s="1147">
        <f>DATOS!C19</f>
        <v>0</v>
      </c>
      <c r="E28" s="1147"/>
      <c r="F28" s="1147"/>
      <c r="H28" s="490"/>
      <c r="I28" s="505" t="s">
        <v>324</v>
      </c>
      <c r="J28" s="1148">
        <f>DATOS!C23</f>
        <v>0</v>
      </c>
      <c r="K28" s="1148"/>
      <c r="L28" s="1148"/>
      <c r="M28" s="429"/>
    </row>
    <row r="29" spans="2:13" s="420" customFormat="1" ht="9" customHeight="1">
      <c r="B29" s="1145" t="s">
        <v>182</v>
      </c>
      <c r="C29" s="1146"/>
      <c r="D29" s="502"/>
      <c r="E29" s="502"/>
      <c r="F29" s="502"/>
      <c r="H29" s="1146" t="s">
        <v>183</v>
      </c>
      <c r="I29" s="1146"/>
      <c r="J29" s="1149"/>
      <c r="K29" s="1149"/>
      <c r="L29" s="1149"/>
      <c r="M29" s="430"/>
    </row>
    <row r="30" spans="2:13" s="420" customFormat="1" ht="9" customHeight="1">
      <c r="B30" s="498"/>
      <c r="C30" s="499"/>
      <c r="D30" s="502"/>
      <c r="E30" s="502"/>
      <c r="F30" s="502"/>
      <c r="H30" s="499"/>
      <c r="I30" s="499"/>
      <c r="J30" s="506"/>
      <c r="K30" s="509"/>
      <c r="L30" s="509"/>
      <c r="M30" s="430"/>
    </row>
    <row r="31" spans="2:13" ht="14.25">
      <c r="B31" s="500"/>
      <c r="C31" s="503" t="s">
        <v>184</v>
      </c>
      <c r="D31" s="1132">
        <f>DATOS!C34</f>
        <v>0</v>
      </c>
      <c r="E31" s="1132"/>
      <c r="F31" s="1132"/>
      <c r="G31" s="431"/>
      <c r="H31" s="1"/>
      <c r="I31" s="505" t="s">
        <v>185</v>
      </c>
      <c r="J31" s="1132">
        <f>DATOS!C36</f>
        <v>0</v>
      </c>
      <c r="K31" s="1132"/>
      <c r="L31" s="1132"/>
      <c r="M31" s="432"/>
    </row>
    <row r="32" spans="2:13" s="433" customFormat="1" ht="9" customHeight="1">
      <c r="B32" s="498"/>
      <c r="C32" s="504" t="s">
        <v>186</v>
      </c>
      <c r="D32" s="506"/>
      <c r="E32" s="633"/>
      <c r="F32" s="633"/>
      <c r="G32" s="436"/>
      <c r="H32" s="499"/>
      <c r="I32" s="504" t="s">
        <v>187</v>
      </c>
      <c r="J32" s="506"/>
      <c r="K32" s="506"/>
      <c r="L32" s="507"/>
      <c r="M32" s="437"/>
    </row>
    <row r="33" spans="2:24" ht="14.25">
      <c r="B33" s="501"/>
      <c r="C33" s="505" t="s">
        <v>188</v>
      </c>
      <c r="D33" s="1132">
        <f>DATOS!C35</f>
        <v>0</v>
      </c>
      <c r="E33" s="1132"/>
      <c r="F33" s="1132"/>
      <c r="G33" s="431"/>
      <c r="H33" s="490"/>
      <c r="I33" s="505" t="s">
        <v>323</v>
      </c>
      <c r="J33" s="1132">
        <f>DATOS!C37</f>
        <v>0</v>
      </c>
      <c r="K33" s="1132"/>
      <c r="L33" s="1132"/>
      <c r="M33" s="432"/>
    </row>
    <row r="34" spans="2:24" s="433" customFormat="1" ht="9" customHeight="1">
      <c r="B34" s="498"/>
      <c r="C34" s="504" t="s">
        <v>189</v>
      </c>
      <c r="E34" s="436"/>
      <c r="G34" s="436"/>
      <c r="H34" s="499"/>
      <c r="I34" s="504" t="s">
        <v>190</v>
      </c>
      <c r="J34" s="506"/>
      <c r="K34" s="506"/>
      <c r="L34" s="506"/>
      <c r="M34" s="439"/>
    </row>
    <row r="35" spans="2:24" s="433" customFormat="1" ht="6" customHeight="1">
      <c r="B35" s="434"/>
      <c r="C35" s="435"/>
      <c r="E35" s="436"/>
      <c r="G35" s="436"/>
      <c r="I35" s="435"/>
      <c r="M35" s="439"/>
    </row>
    <row r="36" spans="2:24" s="420" customFormat="1" ht="13.5" customHeight="1">
      <c r="B36" s="1133" t="s">
        <v>367</v>
      </c>
      <c r="C36" s="1134"/>
      <c r="D36" s="1134"/>
      <c r="E36" s="1134"/>
      <c r="F36" s="1134"/>
      <c r="G36" s="1134"/>
      <c r="H36" s="1134"/>
      <c r="I36" s="1134"/>
      <c r="J36" s="1134"/>
      <c r="K36" s="1134"/>
      <c r="L36" s="1134"/>
      <c r="M36" s="1135"/>
    </row>
    <row r="37" spans="2:24" ht="4.5" hidden="1" customHeight="1">
      <c r="B37" s="425"/>
      <c r="C37" s="425"/>
      <c r="D37" s="425"/>
      <c r="E37" s="425"/>
      <c r="F37" s="425"/>
      <c r="G37" s="425"/>
      <c r="H37" s="425"/>
      <c r="I37" s="425"/>
      <c r="J37" s="425"/>
      <c r="K37" s="425"/>
      <c r="L37" s="425"/>
      <c r="M37" s="425"/>
    </row>
    <row r="38" spans="2:24" ht="23.25" customHeight="1">
      <c r="B38" s="1136" t="s">
        <v>272</v>
      </c>
      <c r="C38" s="1126"/>
      <c r="D38" s="1126"/>
      <c r="E38" s="1126"/>
      <c r="F38" s="1126"/>
      <c r="G38" s="1126"/>
      <c r="H38" s="1126"/>
      <c r="I38" s="1126"/>
      <c r="J38" s="1126"/>
      <c r="K38" s="1126"/>
      <c r="L38" s="1126"/>
      <c r="M38" s="1127"/>
    </row>
    <row r="39" spans="2:24" ht="9" customHeight="1">
      <c r="B39" s="440"/>
      <c r="C39" s="441"/>
      <c r="D39" s="441"/>
      <c r="E39" s="441"/>
      <c r="F39" s="441"/>
      <c r="G39" s="441"/>
      <c r="H39" s="441"/>
      <c r="I39" s="441"/>
      <c r="J39" s="441"/>
      <c r="K39" s="441"/>
      <c r="L39" s="441"/>
      <c r="M39" s="442"/>
    </row>
    <row r="40" spans="2:24">
      <c r="B40" s="1137" t="s">
        <v>191</v>
      </c>
      <c r="C40" s="1138"/>
      <c r="D40" s="1138"/>
      <c r="E40" s="1138" t="s">
        <v>179</v>
      </c>
      <c r="F40" s="1138"/>
      <c r="G40" s="1138" t="s">
        <v>192</v>
      </c>
      <c r="H40" s="1138"/>
      <c r="I40" s="1138" t="s">
        <v>193</v>
      </c>
      <c r="J40" s="1138"/>
      <c r="K40" s="1138"/>
      <c r="L40" s="1139" t="s">
        <v>194</v>
      </c>
      <c r="M40" s="1140"/>
    </row>
    <row r="41" spans="2:24" ht="9" customHeight="1">
      <c r="B41" s="1141" t="s">
        <v>175</v>
      </c>
      <c r="C41" s="1085"/>
      <c r="D41" s="1085"/>
      <c r="E41" s="1085" t="s">
        <v>54</v>
      </c>
      <c r="F41" s="1085"/>
      <c r="G41" s="1085" t="s">
        <v>195</v>
      </c>
      <c r="H41" s="1085"/>
      <c r="I41" s="1085" t="s">
        <v>196</v>
      </c>
      <c r="J41" s="1085"/>
      <c r="K41" s="1085"/>
      <c r="L41" s="1130" t="s">
        <v>197</v>
      </c>
      <c r="M41" s="1131"/>
    </row>
    <row r="42" spans="2:24" s="443" customFormat="1" ht="12.95" customHeight="1">
      <c r="B42" s="1128" t="str">
        <f>DATOS!C28</f>
        <v>Jgo. 50 pesas M1 20 kg c/u</v>
      </c>
      <c r="C42" s="1129"/>
      <c r="D42" s="1129"/>
      <c r="E42" s="1129" t="str">
        <f>DATOS!C29</f>
        <v>STD#188</v>
      </c>
      <c r="F42" s="1129"/>
      <c r="G42" s="1129" t="str">
        <f>DATOS!C30</f>
        <v>CALINSTO</v>
      </c>
      <c r="H42" s="1129"/>
      <c r="I42" s="1129" t="str">
        <f>DATOS!C31</f>
        <v>MMPP-211201</v>
      </c>
      <c r="J42" s="1129"/>
      <c r="K42" s="1129"/>
      <c r="L42" s="1123">
        <f>DATOS!C32</f>
        <v>44905</v>
      </c>
      <c r="M42" s="1124"/>
    </row>
    <row r="43" spans="2:24" s="443" customFormat="1" ht="12.95" customHeight="1">
      <c r="B43" s="1121"/>
      <c r="C43" s="1122"/>
      <c r="D43" s="1122"/>
      <c r="E43" s="1129"/>
      <c r="F43" s="1129"/>
      <c r="G43" s="1122"/>
      <c r="H43" s="1122"/>
      <c r="I43" s="1122"/>
      <c r="J43" s="1122"/>
      <c r="K43" s="1122"/>
      <c r="L43" s="1123"/>
      <c r="M43" s="1124"/>
    </row>
    <row r="44" spans="2:24" s="443" customFormat="1" ht="12.95" customHeight="1">
      <c r="B44" s="1121" t="str">
        <f>DATOS!G28</f>
        <v>Jgo. 5 pesas M1 (2 a 10) kg</v>
      </c>
      <c r="C44" s="1122"/>
      <c r="D44" s="1122"/>
      <c r="E44" s="1122" t="str">
        <f>DATOS!G29</f>
        <v>STD#189</v>
      </c>
      <c r="F44" s="1122"/>
      <c r="G44" s="1122" t="str">
        <f>DATOS!G30</f>
        <v>CALINSTO</v>
      </c>
      <c r="H44" s="1122"/>
      <c r="I44" s="1122" t="str">
        <f>DATOS!G31</f>
        <v>MMPP-211202</v>
      </c>
      <c r="J44" s="1122"/>
      <c r="K44" s="1122"/>
      <c r="L44" s="1123">
        <f>DATOS!G32</f>
        <v>44907</v>
      </c>
      <c r="M44" s="1124"/>
    </row>
    <row r="45" spans="2:24" ht="5.25" customHeight="1">
      <c r="B45" s="511"/>
      <c r="C45" s="512"/>
      <c r="D45" s="512"/>
      <c r="E45" s="512"/>
      <c r="F45" s="512"/>
      <c r="G45" s="512"/>
      <c r="H45" s="512"/>
      <c r="I45" s="512"/>
      <c r="J45" s="512"/>
      <c r="K45" s="512"/>
      <c r="L45" s="512"/>
      <c r="M45" s="513"/>
    </row>
    <row r="46" spans="2:24" ht="0.75" hidden="1" customHeight="1">
      <c r="P46" s="465"/>
      <c r="R46" s="466"/>
      <c r="S46" s="466"/>
      <c r="T46" s="466"/>
      <c r="U46" s="466"/>
      <c r="V46" s="466"/>
      <c r="W46" s="466"/>
      <c r="X46" s="466"/>
    </row>
    <row r="47" spans="2:24" ht="24.75" customHeight="1">
      <c r="B47" s="1125" t="s">
        <v>273</v>
      </c>
      <c r="C47" s="1126"/>
      <c r="D47" s="1126"/>
      <c r="E47" s="1126"/>
      <c r="F47" s="1126"/>
      <c r="G47" s="1126"/>
      <c r="H47" s="1126"/>
      <c r="I47" s="1126"/>
      <c r="J47" s="1126"/>
      <c r="K47" s="1126"/>
      <c r="L47" s="1126"/>
      <c r="M47" s="1127"/>
      <c r="R47" s="467"/>
      <c r="S47" s="446"/>
      <c r="T47" s="446"/>
      <c r="U47" s="446"/>
      <c r="V47" s="446"/>
      <c r="W47" s="446"/>
    </row>
    <row r="48" spans="2:24" ht="9" customHeight="1">
      <c r="B48" s="438"/>
      <c r="E48" s="1119"/>
      <c r="F48" s="1119"/>
      <c r="G48" s="322"/>
      <c r="J48" s="322"/>
      <c r="L48" s="444"/>
      <c r="M48" s="442"/>
    </row>
    <row r="49" spans="2:21">
      <c r="B49" s="445"/>
      <c r="C49" s="515" t="s">
        <v>259</v>
      </c>
      <c r="D49" s="640">
        <f>calculo2!R6</f>
        <v>0</v>
      </c>
      <c r="E49" s="666" t="str">
        <f>DATOS!D40</f>
        <v>°C</v>
      </c>
      <c r="F49" s="5"/>
      <c r="G49" s="515" t="s">
        <v>198</v>
      </c>
      <c r="H49" s="640">
        <f>calculo2!V6</f>
        <v>0</v>
      </c>
      <c r="I49" s="638" t="str">
        <f>DATOS!F40</f>
        <v>%HR</v>
      </c>
      <c r="J49" s="5"/>
      <c r="K49" s="515" t="s">
        <v>261</v>
      </c>
      <c r="L49" s="516">
        <f>calculo2!R8</f>
        <v>0</v>
      </c>
      <c r="M49" s="523" t="str">
        <f>DATOS!H40</f>
        <v>hPa</v>
      </c>
      <c r="R49" s="468"/>
      <c r="S49" s="446"/>
      <c r="T49" s="446"/>
      <c r="U49" s="446"/>
    </row>
    <row r="50" spans="2:21" ht="9" customHeight="1">
      <c r="B50" s="447"/>
      <c r="C50" s="514" t="s">
        <v>260</v>
      </c>
      <c r="D50" s="449"/>
      <c r="E50" s="449"/>
      <c r="F50" s="514"/>
      <c r="G50" s="514" t="s">
        <v>199</v>
      </c>
      <c r="H50" s="449"/>
      <c r="I50" s="449"/>
      <c r="J50" s="514"/>
      <c r="K50" s="514" t="s">
        <v>262</v>
      </c>
      <c r="L50" s="450"/>
      <c r="M50" s="451"/>
      <c r="P50" s="469"/>
      <c r="R50" s="468"/>
      <c r="S50" s="446"/>
      <c r="T50" s="446"/>
      <c r="U50" s="446"/>
    </row>
    <row r="51" spans="2:21" s="452" customFormat="1" ht="3.75" customHeight="1">
      <c r="B51" s="453"/>
      <c r="C51" s="454"/>
      <c r="D51" s="455"/>
      <c r="E51" s="455"/>
      <c r="F51" s="455"/>
      <c r="G51" s="454"/>
      <c r="H51" s="455"/>
      <c r="I51" s="455"/>
      <c r="J51" s="455"/>
      <c r="K51" s="454"/>
      <c r="L51" s="455"/>
      <c r="M51" s="456"/>
      <c r="P51" s="448"/>
      <c r="R51" s="470"/>
      <c r="S51" s="470"/>
      <c r="T51" s="470"/>
      <c r="U51" s="470"/>
    </row>
    <row r="52" spans="2:21" ht="6" customHeight="1">
      <c r="B52" s="446"/>
      <c r="C52" s="457"/>
      <c r="D52" s="446"/>
      <c r="E52" s="446"/>
      <c r="F52" s="446"/>
      <c r="G52" s="446"/>
      <c r="H52" s="446"/>
      <c r="I52" s="446"/>
      <c r="J52" s="446"/>
      <c r="K52" s="446"/>
      <c r="L52" s="446"/>
      <c r="M52" s="446"/>
      <c r="P52" s="469"/>
      <c r="R52" s="468"/>
      <c r="S52" s="446"/>
      <c r="T52" s="446"/>
      <c r="U52" s="446"/>
    </row>
    <row r="53" spans="2:21" ht="12.95" customHeight="1">
      <c r="B53" s="446"/>
      <c r="C53" s="515" t="s">
        <v>200</v>
      </c>
      <c r="D53" s="1117">
        <f>DATOS!C43</f>
        <v>0</v>
      </c>
      <c r="E53" s="1117"/>
      <c r="F53" s="1117"/>
      <c r="G53" s="1117"/>
      <c r="H53" s="1117"/>
      <c r="I53" s="1117"/>
      <c r="J53" s="1117"/>
      <c r="K53" s="1117"/>
      <c r="L53" s="1117"/>
      <c r="M53" s="1117"/>
      <c r="P53" s="469"/>
      <c r="R53" s="468"/>
      <c r="S53" s="446"/>
      <c r="T53" s="446"/>
      <c r="U53" s="446"/>
    </row>
    <row r="54" spans="2:21" s="446" customFormat="1" ht="9" customHeight="1">
      <c r="C54" s="514" t="s">
        <v>201</v>
      </c>
      <c r="D54" s="5"/>
      <c r="E54" s="5"/>
      <c r="F54" s="5"/>
      <c r="G54" s="5"/>
      <c r="H54" s="5"/>
      <c r="I54" s="5"/>
      <c r="J54" s="5"/>
      <c r="K54" s="5"/>
      <c r="L54" s="5"/>
      <c r="M54" s="5"/>
      <c r="P54" s="469"/>
      <c r="R54" s="468"/>
    </row>
    <row r="55" spans="2:21" ht="12.95" customHeight="1">
      <c r="B55" s="446"/>
      <c r="C55" s="515" t="s">
        <v>202</v>
      </c>
      <c r="D55" s="1117" t="str">
        <f>DATOS!C44</f>
        <v xml:space="preserve">PMMC-01 Calibración de instrumentos de pesaje de funcionamiento no automático </v>
      </c>
      <c r="E55" s="1117"/>
      <c r="F55" s="1117"/>
      <c r="G55" s="1117"/>
      <c r="H55" s="1117"/>
      <c r="I55" s="1117"/>
      <c r="J55" s="1117"/>
      <c r="K55" s="1117"/>
      <c r="L55" s="1117"/>
      <c r="M55" s="1117"/>
      <c r="P55" s="469"/>
      <c r="R55" s="468"/>
      <c r="S55" s="446"/>
      <c r="T55" s="446"/>
      <c r="U55" s="446"/>
    </row>
    <row r="56" spans="2:21" s="446" customFormat="1" ht="9" customHeight="1">
      <c r="C56" s="514" t="s">
        <v>203</v>
      </c>
      <c r="D56" s="5"/>
      <c r="E56" s="5"/>
      <c r="F56" s="5"/>
      <c r="G56" s="5"/>
      <c r="H56" s="5"/>
      <c r="I56" s="5"/>
      <c r="J56" s="5"/>
      <c r="K56" s="5"/>
      <c r="L56" s="5"/>
      <c r="M56" s="5"/>
      <c r="P56" s="469"/>
      <c r="R56" s="468"/>
    </row>
    <row r="57" spans="2:21" s="446" customFormat="1" ht="12.95" customHeight="1">
      <c r="C57" s="515" t="s">
        <v>204</v>
      </c>
      <c r="D57" s="491" t="str">
        <f>DATOS!C45</f>
        <v>Funcionando</v>
      </c>
      <c r="E57" s="5"/>
      <c r="F57" s="5"/>
      <c r="G57" s="5"/>
      <c r="H57" s="5"/>
      <c r="I57" s="5"/>
      <c r="J57" s="5"/>
      <c r="K57" s="5"/>
      <c r="L57" s="5"/>
      <c r="M57" s="5"/>
      <c r="P57" s="469"/>
      <c r="R57" s="468"/>
    </row>
    <row r="58" spans="2:21" s="446" customFormat="1" ht="9" customHeight="1">
      <c r="C58" s="514" t="s">
        <v>205</v>
      </c>
      <c r="D58" s="517"/>
      <c r="E58" s="517"/>
      <c r="F58" s="517"/>
      <c r="G58" s="517"/>
      <c r="H58" s="517"/>
      <c r="I58" s="517"/>
      <c r="J58" s="517"/>
      <c r="K58" s="517"/>
      <c r="L58" s="517"/>
      <c r="M58" s="517"/>
      <c r="P58" s="469"/>
      <c r="R58" s="468"/>
    </row>
    <row r="59" spans="2:21" s="446" customFormat="1" ht="12.95" customHeight="1">
      <c r="C59" s="515" t="s">
        <v>206</v>
      </c>
      <c r="D59" s="491" t="str">
        <f>DATOS!C46</f>
        <v xml:space="preserve">Ver hoja(s) de resultados </v>
      </c>
      <c r="E59" s="5"/>
      <c r="F59" s="5"/>
      <c r="G59" s="5"/>
      <c r="H59" s="5"/>
      <c r="I59" s="5"/>
      <c r="J59" s="5"/>
      <c r="K59" s="5"/>
      <c r="L59" s="5"/>
      <c r="M59" s="5"/>
      <c r="P59" s="469"/>
      <c r="R59" s="468"/>
    </row>
    <row r="60" spans="2:21" s="446" customFormat="1" ht="9" customHeight="1">
      <c r="C60" s="514" t="s">
        <v>207</v>
      </c>
      <c r="D60" s="5"/>
      <c r="E60" s="5"/>
      <c r="F60" s="5"/>
      <c r="G60" s="5"/>
      <c r="H60" s="5"/>
      <c r="I60" s="5"/>
      <c r="J60" s="5"/>
      <c r="K60" s="5"/>
      <c r="L60" s="5"/>
      <c r="M60" s="5"/>
      <c r="P60" s="469"/>
      <c r="R60" s="468"/>
    </row>
    <row r="61" spans="2:21" ht="12.95" customHeight="1">
      <c r="B61" s="446"/>
      <c r="C61" s="515" t="s">
        <v>208</v>
      </c>
      <c r="D61" s="1117" t="str">
        <f>DATOS!C47</f>
        <v xml:space="preserve">Comparación Directa </v>
      </c>
      <c r="E61" s="1117"/>
      <c r="F61" s="1117"/>
      <c r="G61" s="1117"/>
      <c r="H61" s="515" t="s">
        <v>209</v>
      </c>
      <c r="I61" s="1118" t="str">
        <f>DATOS!C48</f>
        <v>Euramet cg-18</v>
      </c>
      <c r="J61" s="1118"/>
      <c r="K61" s="1118"/>
      <c r="L61" s="1118"/>
      <c r="M61" s="1118"/>
      <c r="P61" s="469"/>
      <c r="R61" s="468"/>
      <c r="S61" s="446"/>
      <c r="T61" s="446"/>
      <c r="U61" s="446"/>
    </row>
    <row r="62" spans="2:21" s="446" customFormat="1" ht="9" customHeight="1">
      <c r="C62" s="514" t="s">
        <v>210</v>
      </c>
      <c r="D62" s="448"/>
      <c r="E62" s="448"/>
      <c r="F62" s="448"/>
      <c r="G62" s="448"/>
      <c r="H62" s="514" t="s">
        <v>211</v>
      </c>
      <c r="I62" s="448"/>
      <c r="J62" s="448"/>
      <c r="P62" s="469"/>
      <c r="R62" s="468"/>
    </row>
    <row r="63" spans="2:21" s="446" customFormat="1" ht="6.75" customHeight="1">
      <c r="C63" s="448"/>
      <c r="D63" s="448"/>
      <c r="E63" s="448"/>
      <c r="F63" s="448"/>
      <c r="G63" s="448"/>
      <c r="H63" s="448"/>
      <c r="I63" s="448"/>
      <c r="J63" s="448"/>
      <c r="P63" s="469"/>
      <c r="R63" s="468"/>
    </row>
    <row r="64" spans="2:21" ht="11.25" customHeight="1">
      <c r="B64" s="518" t="s">
        <v>212</v>
      </c>
      <c r="C64" s="516"/>
      <c r="D64" s="516"/>
      <c r="E64" s="516"/>
      <c r="F64" s="516"/>
      <c r="G64" s="516"/>
      <c r="H64" s="516" t="s">
        <v>213</v>
      </c>
      <c r="I64" s="516"/>
      <c r="J64" s="516"/>
      <c r="K64" s="1"/>
      <c r="L64" s="1"/>
      <c r="M64" s="1"/>
      <c r="P64" s="469"/>
      <c r="R64" s="468"/>
      <c r="S64" s="446"/>
      <c r="T64" s="446"/>
      <c r="U64" s="446"/>
    </row>
    <row r="65" spans="1:15" ht="6.75" customHeight="1">
      <c r="B65" s="458"/>
      <c r="C65" s="1119"/>
      <c r="D65" s="1119"/>
      <c r="E65" s="1119"/>
      <c r="F65" s="1119"/>
      <c r="J65" s="1119"/>
      <c r="K65" s="1119"/>
      <c r="L65" s="1119"/>
      <c r="M65" s="1119"/>
    </row>
    <row r="66" spans="1:15">
      <c r="C66" s="1120" t="str">
        <f>DATOS!D51</f>
        <v>Tgo. Diego Báez Flores</v>
      </c>
      <c r="D66" s="1120"/>
      <c r="E66" s="1120"/>
      <c r="F66" s="1120"/>
      <c r="G66" s="5"/>
      <c r="H66" s="5"/>
      <c r="I66" s="1120" t="str">
        <f>DATOS!D54</f>
        <v xml:space="preserve">Ing. Gerardo Báez Acosta </v>
      </c>
      <c r="J66" s="1120"/>
      <c r="K66" s="1120"/>
      <c r="L66" s="1120"/>
      <c r="M66" s="458"/>
    </row>
    <row r="67" spans="1:15" s="446" customFormat="1" ht="9.9499999999999993" customHeight="1">
      <c r="A67" s="421"/>
      <c r="B67" s="421"/>
      <c r="C67" s="459"/>
      <c r="D67" s="459"/>
      <c r="E67" s="459"/>
      <c r="F67" s="1089" t="s">
        <v>214</v>
      </c>
      <c r="G67" s="1089"/>
      <c r="H67" s="1089"/>
      <c r="I67" s="1089"/>
      <c r="J67" s="459"/>
      <c r="K67" s="459"/>
      <c r="L67" s="459"/>
      <c r="M67" s="459"/>
    </row>
    <row r="68" spans="1:15" ht="9.9499999999999993" customHeight="1">
      <c r="L68" s="23" t="s">
        <v>331</v>
      </c>
    </row>
    <row r="69" spans="1:15" ht="45" customHeight="1">
      <c r="C69" s="412"/>
      <c r="D69" s="1090" t="str">
        <f>D2</f>
        <v>CALIBRACIONES E INSTRUMENTOS</v>
      </c>
      <c r="E69" s="1090"/>
      <c r="F69" s="1090"/>
      <c r="G69" s="1090"/>
      <c r="H69" s="1090"/>
      <c r="I69" s="1090"/>
      <c r="J69" s="1090"/>
      <c r="K69" s="1090"/>
      <c r="L69" s="412"/>
      <c r="M69" s="412"/>
      <c r="N69" s="413"/>
    </row>
    <row r="70" spans="1:15" ht="12.95" customHeight="1">
      <c r="B70" s="1091" t="s">
        <v>166</v>
      </c>
      <c r="C70" s="1091"/>
      <c r="D70" s="1091"/>
      <c r="E70" s="1091"/>
      <c r="F70" s="1091"/>
      <c r="G70" s="1091"/>
      <c r="H70" s="1091"/>
      <c r="I70" s="1091"/>
      <c r="J70" s="1091"/>
      <c r="K70" s="1091"/>
      <c r="L70" s="1091"/>
      <c r="M70" s="1091"/>
      <c r="N70" s="1091"/>
    </row>
    <row r="71" spans="1:15" ht="12.95" customHeight="1">
      <c r="B71" s="1092" t="s">
        <v>369</v>
      </c>
      <c r="C71" s="1092"/>
      <c r="D71" s="1092"/>
      <c r="E71" s="1092"/>
      <c r="F71" s="1092"/>
      <c r="G71" s="1092"/>
      <c r="H71" s="1092"/>
      <c r="I71" s="1092"/>
      <c r="J71" s="1092"/>
      <c r="K71" s="1092"/>
      <c r="L71" s="1092"/>
      <c r="M71" s="1092"/>
      <c r="N71" s="1092"/>
    </row>
    <row r="73" spans="1:15" ht="25.5" customHeight="1">
      <c r="F73" s="1153" t="s">
        <v>167</v>
      </c>
      <c r="G73" s="1153"/>
      <c r="H73" s="1155">
        <f>E8</f>
        <v>0</v>
      </c>
      <c r="I73" s="1155"/>
    </row>
    <row r="74" spans="1:15" ht="27.75" customHeight="1">
      <c r="B74" s="1093" t="s">
        <v>215</v>
      </c>
      <c r="C74" s="1093"/>
      <c r="D74" s="1093"/>
      <c r="E74" s="1093"/>
      <c r="F74" s="1093"/>
      <c r="G74" s="1093"/>
      <c r="H74" s="1093"/>
      <c r="I74" s="1093"/>
      <c r="J74" s="1093"/>
      <c r="K74" s="1093"/>
      <c r="L74" s="1093"/>
      <c r="M74" s="1093"/>
    </row>
    <row r="75" spans="1:15" ht="15" customHeight="1">
      <c r="B75" s="667"/>
      <c r="C75" s="668" t="s">
        <v>325</v>
      </c>
      <c r="D75" s="667"/>
      <c r="E75" s="669" t="s">
        <v>335</v>
      </c>
      <c r="F75" s="647"/>
      <c r="G75" s="647"/>
      <c r="H75" s="647"/>
      <c r="I75" s="647"/>
      <c r="J75" s="647"/>
      <c r="K75" s="647"/>
      <c r="L75" s="647"/>
      <c r="M75" s="647"/>
      <c r="N75" s="647"/>
      <c r="O75" s="647"/>
    </row>
    <row r="76" spans="1:15" ht="15" customHeight="1">
      <c r="B76" s="669" t="s">
        <v>265</v>
      </c>
      <c r="C76" s="669" t="s">
        <v>263</v>
      </c>
      <c r="D76" s="1154" t="s">
        <v>264</v>
      </c>
      <c r="E76" s="1107"/>
      <c r="F76" s="647"/>
      <c r="G76" s="647"/>
      <c r="H76" s="647"/>
      <c r="I76" s="647"/>
      <c r="J76" s="647"/>
      <c r="K76" s="647"/>
      <c r="L76" s="647"/>
      <c r="M76" s="647"/>
      <c r="N76" s="647"/>
      <c r="O76" s="647"/>
    </row>
    <row r="77" spans="1:15" ht="15" customHeight="1">
      <c r="B77" s="669">
        <v>1</v>
      </c>
      <c r="C77" s="1095">
        <f>calculo2!F9/1000</f>
        <v>0</v>
      </c>
      <c r="D77" s="1112">
        <f>calculo2!G9/1000</f>
        <v>0</v>
      </c>
      <c r="E77" s="1113"/>
      <c r="F77" s="647"/>
      <c r="G77" s="647"/>
      <c r="H77" s="647"/>
      <c r="I77" s="647"/>
      <c r="J77" s="647"/>
      <c r="K77" s="647"/>
      <c r="L77" s="647"/>
      <c r="M77" s="647"/>
      <c r="N77" s="647"/>
      <c r="O77" s="647"/>
    </row>
    <row r="78" spans="1:15" ht="15" customHeight="1">
      <c r="B78" s="669">
        <v>2</v>
      </c>
      <c r="C78" s="1096"/>
      <c r="D78" s="1112">
        <f>calculo2!G10/1000</f>
        <v>0</v>
      </c>
      <c r="E78" s="1113"/>
      <c r="F78" s="647"/>
      <c r="G78" s="647"/>
      <c r="H78" s="647"/>
      <c r="I78" s="647"/>
      <c r="J78" s="647"/>
      <c r="K78" s="647"/>
      <c r="L78" s="647"/>
      <c r="M78" s="647"/>
      <c r="N78" s="647"/>
      <c r="O78" s="647"/>
    </row>
    <row r="79" spans="1:15" ht="15" customHeight="1">
      <c r="B79" s="669">
        <v>3</v>
      </c>
      <c r="C79" s="1096"/>
      <c r="D79" s="1112">
        <f>calculo2!G11/1000</f>
        <v>0</v>
      </c>
      <c r="E79" s="1113"/>
      <c r="F79" s="647"/>
      <c r="G79" s="647"/>
      <c r="H79" s="647"/>
      <c r="I79" s="647"/>
      <c r="J79" s="647"/>
      <c r="K79" s="647"/>
      <c r="L79" s="647"/>
      <c r="M79" s="647"/>
      <c r="N79" s="647"/>
      <c r="O79" s="647"/>
    </row>
    <row r="80" spans="1:15" ht="15" customHeight="1">
      <c r="B80" s="669">
        <v>4</v>
      </c>
      <c r="C80" s="1096"/>
      <c r="D80" s="1112">
        <f>calculo2!G12/1000</f>
        <v>0</v>
      </c>
      <c r="E80" s="1113"/>
      <c r="F80" s="647"/>
      <c r="G80" s="647"/>
      <c r="H80" s="647"/>
      <c r="I80" s="647"/>
      <c r="J80" s="647"/>
      <c r="K80" s="647"/>
      <c r="L80" s="647"/>
      <c r="M80" s="647"/>
      <c r="N80" s="647"/>
      <c r="O80" s="647"/>
    </row>
    <row r="81" spans="2:15" ht="15" customHeight="1">
      <c r="B81" s="669">
        <v>5</v>
      </c>
      <c r="C81" s="1097"/>
      <c r="D81" s="1112">
        <f>calculo2!G13/1000</f>
        <v>0</v>
      </c>
      <c r="E81" s="1113"/>
      <c r="F81" s="647"/>
      <c r="G81" s="1098" t="s">
        <v>269</v>
      </c>
      <c r="H81" s="1152"/>
      <c r="I81" s="1152"/>
      <c r="J81" s="1099"/>
      <c r="K81" s="669" t="str">
        <f>E75</f>
        <v>kg</v>
      </c>
      <c r="L81" s="647"/>
      <c r="M81" s="647"/>
      <c r="N81" s="647"/>
      <c r="O81" s="647"/>
    </row>
    <row r="82" spans="2:15" ht="15" customHeight="1">
      <c r="B82" s="670" t="s">
        <v>355</v>
      </c>
      <c r="C82" s="671"/>
      <c r="D82" s="1112">
        <f>calculo2!H14/1000</f>
        <v>0</v>
      </c>
      <c r="E82" s="1113"/>
      <c r="F82" s="647"/>
      <c r="G82" s="1102" t="s">
        <v>326</v>
      </c>
      <c r="H82" s="1103"/>
      <c r="I82" s="1102" t="s">
        <v>356</v>
      </c>
      <c r="J82" s="1106"/>
      <c r="K82" s="1107"/>
      <c r="L82" s="647"/>
      <c r="M82" s="647"/>
      <c r="N82" s="647"/>
      <c r="O82" s="647"/>
    </row>
    <row r="83" spans="2:15" ht="15" customHeight="1">
      <c r="B83" s="647"/>
      <c r="C83" s="647"/>
      <c r="D83" s="647"/>
      <c r="E83" s="647"/>
      <c r="F83" s="647"/>
      <c r="G83" s="1114">
        <f>calculo2!B18/1000</f>
        <v>0</v>
      </c>
      <c r="H83" s="1115"/>
      <c r="I83" s="1108">
        <f>calculo2!G18/1000</f>
        <v>0</v>
      </c>
      <c r="J83" s="1116"/>
      <c r="K83" s="1109"/>
      <c r="L83" s="647"/>
      <c r="M83" s="647"/>
      <c r="N83" s="647"/>
      <c r="O83" s="647"/>
    </row>
    <row r="84" spans="2:15" ht="15" customHeight="1">
      <c r="B84" s="1098" t="s">
        <v>109</v>
      </c>
      <c r="C84" s="1099"/>
      <c r="D84" s="1151" t="str">
        <f>E75</f>
        <v>kg</v>
      </c>
      <c r="E84" s="1151"/>
      <c r="F84" s="647"/>
      <c r="G84" s="1104"/>
      <c r="H84" s="1105"/>
      <c r="I84" s="1104"/>
      <c r="J84" s="1105"/>
      <c r="K84" s="1105"/>
      <c r="L84" s="647"/>
      <c r="M84" s="647"/>
      <c r="N84" s="647"/>
      <c r="O84" s="647"/>
    </row>
    <row r="85" spans="2:15" ht="15" customHeight="1">
      <c r="B85" s="672" t="s">
        <v>30</v>
      </c>
      <c r="C85" s="672" t="s">
        <v>267</v>
      </c>
      <c r="D85" s="1100" t="s">
        <v>268</v>
      </c>
      <c r="E85" s="1101"/>
      <c r="F85" s="647"/>
      <c r="G85" s="647"/>
      <c r="H85" s="647"/>
      <c r="I85" s="647"/>
      <c r="J85" s="647"/>
      <c r="K85" s="647"/>
      <c r="L85" s="647"/>
      <c r="M85" s="647"/>
      <c r="N85" s="647"/>
      <c r="O85" s="647"/>
    </row>
    <row r="86" spans="2:15" ht="15" customHeight="1">
      <c r="B86" s="673" t="s">
        <v>266</v>
      </c>
      <c r="C86" s="673" t="s">
        <v>264</v>
      </c>
      <c r="D86" s="1102" t="s">
        <v>274</v>
      </c>
      <c r="E86" s="1103"/>
      <c r="F86" s="647"/>
      <c r="G86" s="647"/>
      <c r="H86" s="647"/>
      <c r="I86" s="647"/>
      <c r="J86" s="647"/>
      <c r="K86" s="647"/>
      <c r="L86" s="647"/>
      <c r="M86" s="647"/>
      <c r="N86" s="647"/>
      <c r="O86" s="647"/>
    </row>
    <row r="87" spans="2:15" ht="15" customHeight="1">
      <c r="B87" s="674" t="e">
        <f>'HOJA DE CALCULO'!A43/1000</f>
        <v>#N/A</v>
      </c>
      <c r="C87" s="675" t="e">
        <f>calculo2!C24/1000</f>
        <v>#N/A</v>
      </c>
      <c r="D87" s="1108" t="e">
        <f>calculo2!D24/1000</f>
        <v>#DIV/0!</v>
      </c>
      <c r="E87" s="1109"/>
      <c r="F87" s="647"/>
      <c r="G87" s="647"/>
      <c r="H87" s="647"/>
      <c r="I87" s="647"/>
      <c r="J87" s="647"/>
      <c r="K87" s="647"/>
      <c r="L87" s="647"/>
      <c r="M87" s="647"/>
      <c r="N87" s="647"/>
      <c r="O87" s="647"/>
    </row>
    <row r="88" spans="2:15" ht="15" customHeight="1">
      <c r="B88" s="674" t="e">
        <f>'HOJA DE CALCULO'!A44/1000</f>
        <v>#N/A</v>
      </c>
      <c r="C88" s="675" t="e">
        <f>calculo2!C25/1000</f>
        <v>#N/A</v>
      </c>
      <c r="D88" s="1108" t="e">
        <f>calculo2!D25/1000</f>
        <v>#DIV/0!</v>
      </c>
      <c r="E88" s="1109"/>
      <c r="F88" s="647"/>
      <c r="G88" s="647"/>
      <c r="H88" s="647"/>
      <c r="I88" s="647"/>
      <c r="J88" s="647"/>
      <c r="K88" s="647"/>
      <c r="L88" s="647"/>
      <c r="M88" s="647"/>
      <c r="N88" s="647"/>
      <c r="O88" s="647"/>
    </row>
    <row r="89" spans="2:15" ht="15" customHeight="1">
      <c r="B89" s="674" t="e">
        <f>'HOJA DE CALCULO'!A45/1000</f>
        <v>#N/A</v>
      </c>
      <c r="C89" s="675" t="e">
        <f>calculo2!C26/1000</f>
        <v>#N/A</v>
      </c>
      <c r="D89" s="1108" t="e">
        <f>calculo2!D26/1000</f>
        <v>#DIV/0!</v>
      </c>
      <c r="E89" s="1109"/>
      <c r="F89" s="647"/>
      <c r="G89" s="647"/>
      <c r="H89" s="647"/>
      <c r="I89" s="647"/>
      <c r="J89" s="647"/>
      <c r="K89" s="647"/>
      <c r="L89" s="647"/>
      <c r="M89" s="647"/>
      <c r="N89" s="647"/>
      <c r="O89" s="647"/>
    </row>
    <row r="90" spans="2:15" ht="15" customHeight="1">
      <c r="B90" s="674" t="e">
        <f>'HOJA DE CALCULO'!A46/1000</f>
        <v>#N/A</v>
      </c>
      <c r="C90" s="675" t="e">
        <f>calculo2!C27/1000</f>
        <v>#N/A</v>
      </c>
      <c r="D90" s="1108" t="e">
        <f>calculo2!D27/1000</f>
        <v>#DIV/0!</v>
      </c>
      <c r="E90" s="1109"/>
      <c r="F90" s="647"/>
      <c r="G90" s="647"/>
      <c r="H90" s="647"/>
      <c r="I90" s="647"/>
      <c r="J90" s="647"/>
      <c r="K90" s="647"/>
      <c r="L90" s="647"/>
      <c r="M90" s="647"/>
      <c r="N90" s="647"/>
      <c r="O90" s="647"/>
    </row>
    <row r="91" spans="2:15" ht="15" customHeight="1">
      <c r="B91" s="674" t="e">
        <f>calculo2!B28/1000</f>
        <v>#N/A</v>
      </c>
      <c r="C91" s="675" t="e">
        <f>calculo2!C28/1000</f>
        <v>#N/A</v>
      </c>
      <c r="D91" s="1108" t="e">
        <f>calculo2!D28/1000</f>
        <v>#DIV/0!</v>
      </c>
      <c r="E91" s="1109"/>
      <c r="F91" s="647"/>
      <c r="G91" s="647"/>
      <c r="H91" s="647"/>
      <c r="I91" s="647"/>
      <c r="J91" s="647"/>
      <c r="K91" s="647"/>
      <c r="L91" s="647"/>
      <c r="M91" s="647"/>
      <c r="N91" s="647"/>
      <c r="O91" s="647"/>
    </row>
    <row r="92" spans="2:15" ht="15" customHeight="1">
      <c r="B92" s="592"/>
      <c r="C92" s="593"/>
      <c r="D92" s="1110"/>
      <c r="E92" s="1111"/>
    </row>
    <row r="93" spans="2:15" ht="15" customHeight="1"/>
    <row r="94" spans="2:15" ht="15" customHeight="1"/>
    <row r="95" spans="2:15" ht="15" customHeight="1"/>
    <row r="96" spans="2:15" ht="15" customHeight="1"/>
    <row r="97" spans="2:13" ht="15" customHeight="1"/>
    <row r="98" spans="2:13" ht="15" customHeight="1"/>
    <row r="99" spans="2:13" ht="15" customHeight="1"/>
    <row r="100" spans="2:13" ht="15" customHeight="1"/>
    <row r="101" spans="2:13" ht="15" customHeight="1"/>
    <row r="102" spans="2:13" ht="15" customHeight="1">
      <c r="B102" s="1094" t="s">
        <v>327</v>
      </c>
      <c r="C102" s="1094"/>
      <c r="D102" s="1094"/>
      <c r="E102" s="1094"/>
      <c r="F102" s="1094"/>
      <c r="G102" s="1094"/>
      <c r="H102" s="1094"/>
      <c r="I102" s="1094"/>
      <c r="J102" s="1094"/>
      <c r="K102" s="1094"/>
      <c r="L102" s="1094"/>
      <c r="M102" s="1094"/>
    </row>
    <row r="103" spans="2:13">
      <c r="B103" s="1088" t="s">
        <v>328</v>
      </c>
      <c r="C103" s="1088"/>
      <c r="D103" s="1088"/>
      <c r="E103" s="1088"/>
      <c r="F103" s="1088"/>
      <c r="G103" s="1088"/>
      <c r="H103" s="1088"/>
      <c r="I103" s="1088"/>
      <c r="J103" s="1088"/>
      <c r="K103" s="1088"/>
      <c r="L103" s="1088"/>
      <c r="M103" s="1088"/>
    </row>
    <row r="104" spans="2:13">
      <c r="B104" s="1088" t="s">
        <v>332</v>
      </c>
      <c r="C104" s="1088"/>
      <c r="D104" s="1088"/>
      <c r="E104" s="1088"/>
      <c r="F104" s="1088"/>
      <c r="G104" s="1088"/>
      <c r="H104" s="1088"/>
      <c r="I104" s="1088"/>
      <c r="J104" s="1088"/>
      <c r="K104" s="1088"/>
      <c r="L104" s="1088"/>
      <c r="M104" s="1088"/>
    </row>
    <row r="105" spans="2:13">
      <c r="B105" s="1088" t="s">
        <v>216</v>
      </c>
      <c r="C105" s="1088"/>
      <c r="D105" s="1088"/>
      <c r="E105" s="1088"/>
      <c r="F105" s="1088"/>
      <c r="G105" s="1088"/>
      <c r="H105" s="1088"/>
      <c r="I105" s="1088"/>
      <c r="J105" s="1088"/>
      <c r="K105" s="1088"/>
      <c r="L105" s="1088"/>
      <c r="M105" s="1088"/>
    </row>
    <row r="106" spans="2:13">
      <c r="B106" s="1086" t="s">
        <v>217</v>
      </c>
      <c r="C106" s="1086"/>
      <c r="D106" s="1086"/>
      <c r="E106" s="1086"/>
      <c r="F106" s="1086"/>
      <c r="G106" s="1086"/>
      <c r="H106" s="1086"/>
      <c r="I106" s="1086"/>
      <c r="J106" s="1086"/>
      <c r="K106" s="1086"/>
      <c r="L106" s="1086"/>
      <c r="M106" s="1086"/>
    </row>
    <row r="107" spans="2:13">
      <c r="B107" s="1086" t="s">
        <v>218</v>
      </c>
      <c r="C107" s="1086"/>
      <c r="D107" s="1086"/>
      <c r="E107" s="1086"/>
      <c r="F107" s="1086"/>
      <c r="G107" s="1086"/>
      <c r="H107" s="1086"/>
      <c r="I107" s="1086"/>
      <c r="J107" s="1086"/>
      <c r="K107" s="1086"/>
      <c r="L107" s="1086"/>
      <c r="M107" s="1086"/>
    </row>
    <row r="108" spans="2:13">
      <c r="B108" s="1086" t="s">
        <v>219</v>
      </c>
      <c r="C108" s="1086"/>
      <c r="D108" s="1086"/>
      <c r="E108" s="1086"/>
      <c r="F108" s="1086"/>
      <c r="G108" s="1086"/>
      <c r="H108" s="1086"/>
      <c r="I108" s="1086"/>
      <c r="J108" s="1086"/>
      <c r="K108" s="1086"/>
      <c r="L108" s="1086"/>
      <c r="M108" s="1086"/>
    </row>
    <row r="109" spans="2:13">
      <c r="B109" s="1086" t="s">
        <v>220</v>
      </c>
      <c r="C109" s="1086"/>
      <c r="D109" s="1086"/>
      <c r="E109" s="1086"/>
      <c r="F109" s="1086"/>
      <c r="G109" s="1086"/>
      <c r="H109" s="1086"/>
      <c r="I109" s="1086"/>
      <c r="J109" s="1086"/>
      <c r="K109" s="1086"/>
      <c r="L109" s="1086"/>
      <c r="M109" s="1086"/>
    </row>
    <row r="110" spans="2:13">
      <c r="B110" s="1086" t="s">
        <v>221</v>
      </c>
      <c r="C110" s="1086"/>
      <c r="D110" s="1086"/>
      <c r="E110" s="1086"/>
      <c r="F110" s="1086"/>
      <c r="G110" s="1086"/>
      <c r="H110" s="1086"/>
      <c r="I110" s="1086"/>
      <c r="J110" s="1086"/>
      <c r="K110" s="1086"/>
      <c r="L110" s="1086"/>
      <c r="M110" s="1086"/>
    </row>
    <row r="111" spans="2:13">
      <c r="B111" s="1086" t="s">
        <v>222</v>
      </c>
      <c r="C111" s="1086"/>
      <c r="D111" s="1086"/>
      <c r="E111" s="1086"/>
      <c r="F111" s="1086"/>
      <c r="G111" s="1086"/>
      <c r="H111" s="1086"/>
      <c r="I111" s="1086"/>
      <c r="J111" s="1086"/>
      <c r="K111" s="1086"/>
      <c r="L111" s="1086"/>
      <c r="M111" s="1086"/>
    </row>
    <row r="112" spans="2:13">
      <c r="B112" s="1086" t="s">
        <v>223</v>
      </c>
      <c r="C112" s="1086"/>
      <c r="D112" s="1086"/>
      <c r="E112" s="1086"/>
      <c r="F112" s="1086"/>
      <c r="G112" s="1086"/>
      <c r="H112" s="1086"/>
      <c r="I112" s="1086"/>
      <c r="J112" s="1086"/>
      <c r="K112" s="1086"/>
      <c r="L112" s="1086"/>
      <c r="M112" s="1086"/>
    </row>
    <row r="113" spans="1:14">
      <c r="B113" s="1086" t="s">
        <v>224</v>
      </c>
      <c r="C113" s="1086"/>
      <c r="D113" s="1086"/>
      <c r="E113" s="1086"/>
      <c r="F113" s="1086"/>
      <c r="G113" s="1086"/>
      <c r="H113" s="1086"/>
      <c r="I113" s="1086"/>
      <c r="J113" s="1086"/>
      <c r="K113" s="1086"/>
      <c r="L113" s="1086"/>
      <c r="M113" s="1086"/>
    </row>
    <row r="114" spans="1:14">
      <c r="B114" s="1087" t="s">
        <v>225</v>
      </c>
      <c r="C114" s="1087"/>
      <c r="D114" s="1087"/>
      <c r="E114" s="1087"/>
      <c r="F114" s="1087"/>
      <c r="G114" s="1087"/>
      <c r="H114" s="1087"/>
      <c r="I114" s="1087"/>
      <c r="J114" s="1087"/>
      <c r="K114" s="1087"/>
      <c r="L114" s="1087"/>
      <c r="M114" s="1087"/>
    </row>
    <row r="115" spans="1:14">
      <c r="B115" s="1086" t="s">
        <v>226</v>
      </c>
      <c r="C115" s="1086"/>
      <c r="D115" s="1086"/>
      <c r="E115" s="1086"/>
      <c r="F115" s="1086"/>
      <c r="G115" s="1086"/>
      <c r="H115" s="1086"/>
      <c r="I115" s="1086"/>
      <c r="J115" s="1086"/>
      <c r="K115" s="1086"/>
      <c r="L115" s="1086"/>
      <c r="M115" s="1086"/>
    </row>
    <row r="116" spans="1:14">
      <c r="B116" s="1086" t="s">
        <v>347</v>
      </c>
      <c r="C116" s="1086"/>
      <c r="D116" s="1086"/>
      <c r="E116" s="1086"/>
      <c r="F116" s="1086"/>
      <c r="G116" s="1086"/>
      <c r="H116" s="1086"/>
      <c r="I116" s="1086"/>
      <c r="J116" s="1086"/>
      <c r="K116" s="1086"/>
      <c r="L116" s="1086"/>
      <c r="M116" s="1086"/>
    </row>
    <row r="117" spans="1:14">
      <c r="B117" s="17"/>
      <c r="C117" s="1"/>
      <c r="D117" s="1"/>
      <c r="E117" s="1"/>
      <c r="F117" s="1"/>
      <c r="G117" s="1"/>
      <c r="H117" s="1"/>
      <c r="I117" s="519"/>
      <c r="J117" s="519"/>
      <c r="K117" s="1"/>
      <c r="L117" s="1"/>
      <c r="M117" s="1"/>
    </row>
    <row r="118" spans="1:14" ht="15" hidden="1">
      <c r="B118" s="521"/>
      <c r="C118" s="521"/>
      <c r="D118" s="521"/>
      <c r="E118" s="521"/>
      <c r="F118" s="521"/>
      <c r="G118" s="521"/>
      <c r="H118" s="521"/>
      <c r="I118" s="521"/>
      <c r="J118" s="521"/>
      <c r="K118" s="521"/>
      <c r="L118" s="521"/>
      <c r="M118" s="521"/>
    </row>
    <row r="119" spans="1:14">
      <c r="B119" s="520"/>
      <c r="C119" s="510"/>
      <c r="D119" s="510"/>
      <c r="E119" s="510"/>
      <c r="F119" s="1085" t="s">
        <v>227</v>
      </c>
      <c r="G119" s="1085"/>
      <c r="H119" s="1085"/>
      <c r="I119" s="1085"/>
      <c r="J119" s="510"/>
      <c r="K119" s="510"/>
      <c r="L119" s="23" t="s">
        <v>331</v>
      </c>
      <c r="M119" s="510"/>
    </row>
    <row r="120" spans="1:14" ht="33.75" customHeight="1"/>
    <row r="122" spans="1:14" ht="12.75" customHeight="1"/>
    <row r="123" spans="1:14" ht="24" customHeight="1">
      <c r="N123" s="461"/>
    </row>
    <row r="124" spans="1:14" ht="15">
      <c r="A124" s="461"/>
      <c r="N124" s="461"/>
    </row>
    <row r="125" spans="1:14" s="446" customFormat="1" ht="9.9499999999999993" customHeight="1">
      <c r="A125" s="461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4">
      <c r="A126" s="421"/>
    </row>
  </sheetData>
  <mergeCells count="130">
    <mergeCell ref="D2:K2"/>
    <mergeCell ref="B3:N3"/>
    <mergeCell ref="B4:N4"/>
    <mergeCell ref="B6:M6"/>
    <mergeCell ref="C8:D8"/>
    <mergeCell ref="G8:I8"/>
    <mergeCell ref="E8:F8"/>
    <mergeCell ref="L8:M8"/>
    <mergeCell ref="L9:M9"/>
    <mergeCell ref="B10:M10"/>
    <mergeCell ref="C12:M12"/>
    <mergeCell ref="B103:M103"/>
    <mergeCell ref="B104:M104"/>
    <mergeCell ref="D84:E84"/>
    <mergeCell ref="D87:E87"/>
    <mergeCell ref="D78:E78"/>
    <mergeCell ref="G81:J81"/>
    <mergeCell ref="J22:K22"/>
    <mergeCell ref="C14:M14"/>
    <mergeCell ref="D81:E81"/>
    <mergeCell ref="F73:G73"/>
    <mergeCell ref="J25:L25"/>
    <mergeCell ref="B20:M20"/>
    <mergeCell ref="D79:E79"/>
    <mergeCell ref="D77:E77"/>
    <mergeCell ref="J26:L26"/>
    <mergeCell ref="B25:C25"/>
    <mergeCell ref="H25:I25"/>
    <mergeCell ref="D76:E76"/>
    <mergeCell ref="H73:I73"/>
    <mergeCell ref="D80:E80"/>
    <mergeCell ref="B22:C22"/>
    <mergeCell ref="D22:F22"/>
    <mergeCell ref="C16:M16"/>
    <mergeCell ref="H22:I22"/>
    <mergeCell ref="B23:C23"/>
    <mergeCell ref="H23:I23"/>
    <mergeCell ref="J23:L23"/>
    <mergeCell ref="D24:F24"/>
    <mergeCell ref="H24:I24"/>
    <mergeCell ref="J24:K24"/>
    <mergeCell ref="B29:C29"/>
    <mergeCell ref="H29:I29"/>
    <mergeCell ref="J29:L29"/>
    <mergeCell ref="B24:C24"/>
    <mergeCell ref="B27:C27"/>
    <mergeCell ref="H27:I27"/>
    <mergeCell ref="J27:L27"/>
    <mergeCell ref="B28:C28"/>
    <mergeCell ref="D28:F28"/>
    <mergeCell ref="J28:L28"/>
    <mergeCell ref="B26:C26"/>
    <mergeCell ref="D26:F26"/>
    <mergeCell ref="H26:I26"/>
    <mergeCell ref="L41:M41"/>
    <mergeCell ref="D31:F31"/>
    <mergeCell ref="J31:L31"/>
    <mergeCell ref="D33:F33"/>
    <mergeCell ref="J33:L33"/>
    <mergeCell ref="B36:M36"/>
    <mergeCell ref="B38:M38"/>
    <mergeCell ref="B40:D40"/>
    <mergeCell ref="E40:F40"/>
    <mergeCell ref="G40:H40"/>
    <mergeCell ref="I40:K40"/>
    <mergeCell ref="L40:M40"/>
    <mergeCell ref="B41:D41"/>
    <mergeCell ref="E41:F41"/>
    <mergeCell ref="G41:H41"/>
    <mergeCell ref="I41:K41"/>
    <mergeCell ref="B44:D44"/>
    <mergeCell ref="E44:F44"/>
    <mergeCell ref="G44:H44"/>
    <mergeCell ref="I44:K44"/>
    <mergeCell ref="L44:M44"/>
    <mergeCell ref="B47:M47"/>
    <mergeCell ref="B42:D42"/>
    <mergeCell ref="E42:F42"/>
    <mergeCell ref="G42:H42"/>
    <mergeCell ref="I42:K42"/>
    <mergeCell ref="L42:M42"/>
    <mergeCell ref="B43:D43"/>
    <mergeCell ref="E43:F43"/>
    <mergeCell ref="G43:H43"/>
    <mergeCell ref="I43:K43"/>
    <mergeCell ref="L43:M43"/>
    <mergeCell ref="D61:G61"/>
    <mergeCell ref="I61:M61"/>
    <mergeCell ref="C65:F65"/>
    <mergeCell ref="J65:M65"/>
    <mergeCell ref="C66:F66"/>
    <mergeCell ref="I66:L66"/>
    <mergeCell ref="E48:F48"/>
    <mergeCell ref="D53:M53"/>
    <mergeCell ref="D55:M55"/>
    <mergeCell ref="F67:I67"/>
    <mergeCell ref="D69:K69"/>
    <mergeCell ref="B70:N70"/>
    <mergeCell ref="B71:N71"/>
    <mergeCell ref="B74:M74"/>
    <mergeCell ref="B102:M102"/>
    <mergeCell ref="C77:C81"/>
    <mergeCell ref="B84:C84"/>
    <mergeCell ref="D85:E85"/>
    <mergeCell ref="D86:E86"/>
    <mergeCell ref="I84:K84"/>
    <mergeCell ref="G82:H82"/>
    <mergeCell ref="I82:K82"/>
    <mergeCell ref="D91:E91"/>
    <mergeCell ref="D92:E92"/>
    <mergeCell ref="D82:E82"/>
    <mergeCell ref="D88:E88"/>
    <mergeCell ref="D89:E89"/>
    <mergeCell ref="G83:H83"/>
    <mergeCell ref="G84:H84"/>
    <mergeCell ref="D90:E90"/>
    <mergeCell ref="I83:K83"/>
    <mergeCell ref="F119:I119"/>
    <mergeCell ref="B110:M110"/>
    <mergeCell ref="B111:M111"/>
    <mergeCell ref="B112:M112"/>
    <mergeCell ref="B113:M113"/>
    <mergeCell ref="B114:M114"/>
    <mergeCell ref="B115:M115"/>
    <mergeCell ref="B105:M105"/>
    <mergeCell ref="B106:M106"/>
    <mergeCell ref="B107:M107"/>
    <mergeCell ref="B108:M108"/>
    <mergeCell ref="B109:M109"/>
    <mergeCell ref="B116:M116"/>
  </mergeCells>
  <pageMargins left="0.19685039370078741" right="0.19685039370078741" top="0.19685039370078741" bottom="0.19685039370078741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5"/>
  <sheetViews>
    <sheetView topLeftCell="A31" zoomScaleNormal="100" workbookViewId="0">
      <selection activeCell="C43" sqref="C43"/>
    </sheetView>
  </sheetViews>
  <sheetFormatPr baseColWidth="10" defaultRowHeight="12.75"/>
  <cols>
    <col min="12" max="12" width="13.42578125" customWidth="1"/>
  </cols>
  <sheetData>
    <row r="1" spans="1:12">
      <c r="A1" s="471"/>
      <c r="B1" s="471"/>
      <c r="C1" s="472"/>
      <c r="D1" s="471"/>
      <c r="E1" s="471"/>
      <c r="F1" s="471"/>
      <c r="G1" s="471"/>
      <c r="H1" s="471"/>
    </row>
    <row r="2" spans="1:12">
      <c r="A2" s="471"/>
      <c r="B2" s="471"/>
      <c r="C2" s="472"/>
      <c r="D2" s="471"/>
      <c r="E2" s="471"/>
      <c r="F2" s="471"/>
      <c r="G2" s="471"/>
      <c r="H2" s="471"/>
    </row>
    <row r="3" spans="1:12" ht="33.75">
      <c r="A3" s="471"/>
      <c r="B3" s="471"/>
      <c r="C3" s="473" t="s">
        <v>228</v>
      </c>
      <c r="D3" s="471"/>
      <c r="E3" s="471"/>
      <c r="F3" s="471"/>
      <c r="G3" s="471"/>
      <c r="H3" s="471"/>
    </row>
    <row r="4" spans="1:12">
      <c r="A4" s="471"/>
      <c r="B4" s="471"/>
      <c r="C4" s="471"/>
      <c r="D4" s="471"/>
      <c r="E4" s="471"/>
      <c r="F4" s="471"/>
      <c r="G4" s="471"/>
    </row>
    <row r="5" spans="1:12">
      <c r="A5" s="471"/>
      <c r="B5" s="471"/>
      <c r="C5" s="471"/>
      <c r="D5" s="471"/>
      <c r="E5" s="471"/>
      <c r="F5" s="471"/>
      <c r="G5" s="471"/>
    </row>
    <row r="6" spans="1:12">
      <c r="A6" s="471"/>
      <c r="B6" s="471" t="s">
        <v>229</v>
      </c>
      <c r="C6" s="471"/>
      <c r="D6" s="1170"/>
      <c r="E6" s="1170"/>
      <c r="F6" s="1170"/>
      <c r="G6" s="471"/>
    </row>
    <row r="7" spans="1:12">
      <c r="A7" s="471"/>
      <c r="B7" s="471" t="s">
        <v>230</v>
      </c>
      <c r="C7" s="471"/>
      <c r="D7" s="1170"/>
      <c r="E7" s="1170"/>
      <c r="F7" s="1170"/>
      <c r="G7" s="471"/>
      <c r="K7" s="604"/>
    </row>
    <row r="8" spans="1:12">
      <c r="A8" s="471"/>
      <c r="B8" s="471"/>
      <c r="C8" s="471"/>
      <c r="D8" s="471"/>
      <c r="E8" s="471"/>
      <c r="F8" s="471"/>
      <c r="G8" s="471"/>
    </row>
    <row r="9" spans="1:12">
      <c r="A9" s="471"/>
      <c r="B9" s="472" t="s">
        <v>231</v>
      </c>
      <c r="C9" s="1166"/>
      <c r="D9" s="1166"/>
      <c r="E9" s="1166"/>
      <c r="F9" s="1166"/>
      <c r="G9" s="471"/>
    </row>
    <row r="10" spans="1:12">
      <c r="A10" s="471"/>
      <c r="B10" s="472" t="s">
        <v>232</v>
      </c>
      <c r="C10" s="1166"/>
      <c r="D10" s="1166"/>
      <c r="E10" s="1166"/>
      <c r="F10" s="1166"/>
      <c r="G10" s="471"/>
      <c r="H10" s="604"/>
      <c r="I10" s="604"/>
      <c r="J10" s="604"/>
      <c r="K10" s="604"/>
    </row>
    <row r="11" spans="1:12">
      <c r="A11" s="471"/>
      <c r="B11" s="472" t="s">
        <v>233</v>
      </c>
      <c r="C11" s="1169"/>
      <c r="D11" s="1166"/>
      <c r="E11" s="1166"/>
      <c r="F11" s="1166"/>
      <c r="G11" s="637"/>
    </row>
    <row r="12" spans="1:12">
      <c r="A12" s="471"/>
      <c r="B12" s="474"/>
      <c r="C12" s="475"/>
      <c r="D12" s="475"/>
      <c r="E12" s="475"/>
      <c r="F12" s="475"/>
      <c r="G12" s="471"/>
    </row>
    <row r="13" spans="1:12">
      <c r="A13" s="471"/>
      <c r="B13" s="474"/>
      <c r="C13" s="476"/>
      <c r="D13" s="476"/>
      <c r="E13" s="476"/>
      <c r="F13" s="476"/>
      <c r="G13" s="471"/>
      <c r="H13" s="471"/>
    </row>
    <row r="14" spans="1:12">
      <c r="A14" s="1165"/>
      <c r="B14" s="1165"/>
      <c r="C14" s="477"/>
      <c r="D14" s="475"/>
      <c r="E14" s="475"/>
      <c r="F14" s="475"/>
      <c r="G14" s="471"/>
      <c r="H14" s="471"/>
    </row>
    <row r="15" spans="1:12" ht="15.75">
      <c r="A15" s="471"/>
      <c r="B15" s="478" t="s">
        <v>234</v>
      </c>
      <c r="C15" s="471"/>
      <c r="D15" s="471"/>
      <c r="E15" s="471"/>
      <c r="F15" s="471"/>
      <c r="G15" s="471"/>
      <c r="H15" s="471"/>
      <c r="L15" t="s">
        <v>282</v>
      </c>
    </row>
    <row r="16" spans="1:12">
      <c r="A16" s="471"/>
      <c r="B16" s="479" t="s">
        <v>191</v>
      </c>
      <c r="C16" s="1166"/>
      <c r="D16" s="1166"/>
      <c r="E16" s="1166"/>
      <c r="F16" s="1166"/>
      <c r="G16" s="471"/>
      <c r="H16" s="471"/>
      <c r="L16" s="532">
        <v>2000000</v>
      </c>
    </row>
    <row r="17" spans="1:13">
      <c r="A17" s="471"/>
      <c r="B17" s="479" t="s">
        <v>176</v>
      </c>
      <c r="C17" s="1164"/>
      <c r="D17" s="1164"/>
      <c r="E17" s="1164"/>
      <c r="F17" s="1164"/>
      <c r="G17" s="471"/>
      <c r="H17" s="471"/>
      <c r="L17" s="532">
        <v>1000000</v>
      </c>
    </row>
    <row r="18" spans="1:13">
      <c r="A18" s="471"/>
      <c r="B18" s="479" t="s">
        <v>74</v>
      </c>
      <c r="C18" s="1164"/>
      <c r="D18" s="1164"/>
      <c r="E18" s="1164"/>
      <c r="F18" s="1164"/>
      <c r="G18" s="471"/>
      <c r="H18" s="471"/>
      <c r="L18" s="532">
        <v>800000</v>
      </c>
    </row>
    <row r="19" spans="1:13">
      <c r="A19" s="471"/>
      <c r="B19" s="479" t="s">
        <v>235</v>
      </c>
      <c r="C19" s="1167"/>
      <c r="D19" s="1167"/>
      <c r="E19" s="1167"/>
      <c r="F19" s="1167"/>
      <c r="G19" s="471"/>
      <c r="H19" s="471"/>
      <c r="L19" s="532">
        <v>600000</v>
      </c>
    </row>
    <row r="20" spans="1:13">
      <c r="A20" s="471"/>
      <c r="B20" s="479" t="s">
        <v>174</v>
      </c>
      <c r="C20" s="1168"/>
      <c r="D20" s="1168"/>
      <c r="E20" s="1168"/>
      <c r="F20" s="1168"/>
      <c r="G20" s="487" t="s">
        <v>73</v>
      </c>
      <c r="H20" s="471"/>
      <c r="L20" s="532">
        <v>500000</v>
      </c>
    </row>
    <row r="21" spans="1:13">
      <c r="A21" s="471"/>
      <c r="B21" s="479" t="s">
        <v>257</v>
      </c>
      <c r="C21" s="1164"/>
      <c r="D21" s="1164"/>
      <c r="E21" s="1164"/>
      <c r="F21" s="1164"/>
      <c r="G21" s="487" t="s">
        <v>73</v>
      </c>
      <c r="H21" s="471"/>
      <c r="L21" s="532">
        <v>400000</v>
      </c>
    </row>
    <row r="22" spans="1:13">
      <c r="A22" s="471"/>
      <c r="B22" s="479" t="s">
        <v>236</v>
      </c>
      <c r="C22" s="1164"/>
      <c r="D22" s="1164"/>
      <c r="E22" s="1164"/>
      <c r="F22" s="1164"/>
      <c r="G22" s="471"/>
      <c r="H22" s="471"/>
      <c r="L22" s="532">
        <v>300000</v>
      </c>
      <c r="M22" s="604"/>
    </row>
    <row r="23" spans="1:13">
      <c r="A23" s="471"/>
      <c r="B23" s="479" t="s">
        <v>237</v>
      </c>
      <c r="C23" s="1164"/>
      <c r="D23" s="1164"/>
      <c r="E23" s="1164"/>
      <c r="F23" s="1164"/>
      <c r="G23" s="471"/>
      <c r="H23" s="471"/>
      <c r="L23" s="532">
        <v>200000</v>
      </c>
      <c r="M23" s="604"/>
    </row>
    <row r="24" spans="1:13">
      <c r="A24" s="471"/>
      <c r="B24" s="479" t="s">
        <v>238</v>
      </c>
      <c r="C24" s="480"/>
      <c r="D24" s="471"/>
      <c r="E24" s="471"/>
      <c r="F24" s="471"/>
      <c r="G24" s="471"/>
      <c r="H24" s="471"/>
      <c r="L24" s="532">
        <v>150000</v>
      </c>
      <c r="M24" s="604"/>
    </row>
    <row r="25" spans="1:13">
      <c r="A25" s="471"/>
      <c r="B25" s="471"/>
      <c r="C25" s="471"/>
      <c r="D25" s="471"/>
      <c r="E25" s="471"/>
      <c r="F25" s="471"/>
      <c r="G25" s="471"/>
      <c r="H25" s="471"/>
      <c r="L25" s="532">
        <v>140000</v>
      </c>
      <c r="M25" s="604"/>
    </row>
    <row r="26" spans="1:13" ht="15.75">
      <c r="A26" s="471"/>
      <c r="B26" s="478" t="s">
        <v>239</v>
      </c>
      <c r="C26" s="471"/>
      <c r="D26" s="471"/>
      <c r="E26" s="471"/>
      <c r="F26" s="471"/>
      <c r="G26" s="471"/>
      <c r="H26" s="471"/>
      <c r="L26" s="532">
        <v>100000</v>
      </c>
      <c r="M26" s="604"/>
    </row>
    <row r="27" spans="1:13" ht="15.75">
      <c r="A27" s="471"/>
      <c r="B27" s="478"/>
      <c r="C27" s="1163">
        <v>1</v>
      </c>
      <c r="D27" s="1163"/>
      <c r="E27" s="1163">
        <v>2</v>
      </c>
      <c r="F27" s="1163"/>
      <c r="G27" s="1163">
        <v>3</v>
      </c>
      <c r="H27" s="1163"/>
      <c r="L27" s="532">
        <v>50000</v>
      </c>
      <c r="M27" s="604"/>
    </row>
    <row r="28" spans="1:13">
      <c r="A28" s="471"/>
      <c r="B28" s="479" t="s">
        <v>7</v>
      </c>
      <c r="C28" s="1162" t="s">
        <v>366</v>
      </c>
      <c r="D28" s="1161"/>
      <c r="E28" s="1162"/>
      <c r="F28" s="1161"/>
      <c r="G28" s="1162" t="s">
        <v>337</v>
      </c>
      <c r="H28" s="1161"/>
      <c r="L28" s="532">
        <v>40000</v>
      </c>
      <c r="M28" s="604"/>
    </row>
    <row r="29" spans="1:13">
      <c r="A29" s="471"/>
      <c r="B29" s="479" t="s">
        <v>179</v>
      </c>
      <c r="C29" s="1162" t="s">
        <v>358</v>
      </c>
      <c r="D29" s="1161"/>
      <c r="E29" s="1162"/>
      <c r="F29" s="1161"/>
      <c r="G29" s="1162" t="s">
        <v>359</v>
      </c>
      <c r="H29" s="1161"/>
      <c r="L29" s="532">
        <v>30000</v>
      </c>
    </row>
    <row r="30" spans="1:13">
      <c r="A30" s="471"/>
      <c r="B30" s="479" t="s">
        <v>240</v>
      </c>
      <c r="C30" s="1162" t="s">
        <v>363</v>
      </c>
      <c r="D30" s="1161"/>
      <c r="E30" s="1162"/>
      <c r="F30" s="1161"/>
      <c r="G30" s="1162" t="s">
        <v>363</v>
      </c>
      <c r="H30" s="1161"/>
      <c r="L30" s="532">
        <v>20000</v>
      </c>
    </row>
    <row r="31" spans="1:13">
      <c r="A31" s="471"/>
      <c r="B31" s="479" t="s">
        <v>241</v>
      </c>
      <c r="C31" s="1162" t="s">
        <v>364</v>
      </c>
      <c r="D31" s="1161"/>
      <c r="E31" s="1162"/>
      <c r="F31" s="1161"/>
      <c r="G31" s="1162" t="s">
        <v>365</v>
      </c>
      <c r="H31" s="1161"/>
      <c r="L31" s="532">
        <v>10000</v>
      </c>
    </row>
    <row r="32" spans="1:13">
      <c r="A32" s="471"/>
      <c r="B32" s="479" t="s">
        <v>194</v>
      </c>
      <c r="C32" s="1160">
        <v>44905</v>
      </c>
      <c r="D32" s="1161"/>
      <c r="E32" s="1160"/>
      <c r="F32" s="1161"/>
      <c r="G32" s="1160">
        <v>44907</v>
      </c>
      <c r="H32" s="1161"/>
      <c r="L32" s="532"/>
    </row>
    <row r="33" spans="1:12" ht="13.5">
      <c r="A33" s="471"/>
      <c r="B33" s="481"/>
      <c r="C33" s="481"/>
      <c r="D33" s="481"/>
      <c r="E33" s="481"/>
      <c r="F33" s="481"/>
      <c r="G33" s="481"/>
      <c r="H33" s="481"/>
    </row>
    <row r="34" spans="1:12" ht="13.5">
      <c r="A34" s="471"/>
      <c r="B34" s="479" t="s">
        <v>242</v>
      </c>
      <c r="C34" s="482"/>
      <c r="D34" s="483"/>
      <c r="E34" s="471"/>
      <c r="F34" s="481"/>
      <c r="G34" s="481"/>
      <c r="H34" s="481"/>
    </row>
    <row r="35" spans="1:12" ht="13.5">
      <c r="A35" s="471"/>
      <c r="B35" s="479" t="s">
        <v>243</v>
      </c>
      <c r="C35" s="482"/>
      <c r="D35" s="483"/>
      <c r="E35" s="471"/>
      <c r="F35" s="481"/>
      <c r="G35" s="481"/>
      <c r="H35" s="481"/>
    </row>
    <row r="36" spans="1:12" ht="13.5">
      <c r="A36" s="471"/>
      <c r="B36" s="479" t="s">
        <v>5</v>
      </c>
      <c r="C36" s="482"/>
      <c r="D36" s="483"/>
      <c r="E36" s="471"/>
      <c r="F36" s="481"/>
      <c r="G36" s="481"/>
      <c r="H36" s="481"/>
    </row>
    <row r="37" spans="1:12" ht="13.5">
      <c r="A37" s="471"/>
      <c r="B37" s="479" t="s">
        <v>244</v>
      </c>
      <c r="C37" s="482"/>
      <c r="D37" s="483"/>
      <c r="E37" s="471"/>
      <c r="F37" s="481"/>
      <c r="G37" s="481"/>
      <c r="H37" s="481"/>
    </row>
    <row r="38" spans="1:12" ht="13.5">
      <c r="A38" s="471"/>
      <c r="B38" s="472"/>
      <c r="C38" s="471"/>
      <c r="D38" s="471"/>
      <c r="E38" s="471"/>
      <c r="F38" s="481"/>
      <c r="G38" s="481"/>
      <c r="H38" s="481"/>
    </row>
    <row r="39" spans="1:12" ht="15.75">
      <c r="A39" s="471"/>
      <c r="B39" s="478" t="s">
        <v>245</v>
      </c>
      <c r="C39" s="481"/>
      <c r="D39" s="481"/>
      <c r="E39" s="481"/>
      <c r="F39" s="481"/>
      <c r="G39" s="481"/>
      <c r="H39" s="481"/>
    </row>
    <row r="40" spans="1:12" ht="13.5">
      <c r="A40" s="471"/>
      <c r="B40" s="481" t="s">
        <v>246</v>
      </c>
      <c r="C40" s="484"/>
      <c r="D40" s="485" t="s">
        <v>20</v>
      </c>
      <c r="E40" s="484"/>
      <c r="F40" s="485" t="s">
        <v>357</v>
      </c>
      <c r="G40" s="488"/>
      <c r="H40" s="485" t="s">
        <v>23</v>
      </c>
      <c r="I40" s="488"/>
      <c r="J40" s="485" t="s">
        <v>333</v>
      </c>
    </row>
    <row r="41" spans="1:12" ht="13.5">
      <c r="A41" s="471"/>
      <c r="B41" s="481" t="s">
        <v>247</v>
      </c>
      <c r="C41" s="484"/>
      <c r="D41" s="485" t="s">
        <v>20</v>
      </c>
      <c r="E41" s="484"/>
      <c r="F41" s="485" t="s">
        <v>357</v>
      </c>
      <c r="G41" s="488"/>
      <c r="H41" s="485" t="s">
        <v>23</v>
      </c>
    </row>
    <row r="42" spans="1:12" ht="13.5">
      <c r="A42" s="471"/>
      <c r="B42" s="471"/>
      <c r="C42" s="471"/>
      <c r="D42" s="471"/>
      <c r="E42" s="471"/>
      <c r="F42" s="471"/>
      <c r="G42" s="481"/>
      <c r="H42" s="481"/>
    </row>
    <row r="43" spans="1:12" ht="13.5">
      <c r="A43" s="471"/>
      <c r="B43" s="479" t="s">
        <v>115</v>
      </c>
      <c r="C43" s="486">
        <f>Hoja_de_registro!E41</f>
        <v>0</v>
      </c>
      <c r="D43" s="486"/>
      <c r="E43" s="486"/>
      <c r="F43" s="486"/>
      <c r="G43" s="486"/>
      <c r="H43" s="481"/>
    </row>
    <row r="44" spans="1:12" ht="15">
      <c r="A44" s="471"/>
      <c r="B44" s="479" t="s">
        <v>103</v>
      </c>
      <c r="C44" s="480" t="s">
        <v>334</v>
      </c>
      <c r="D44" s="663"/>
      <c r="E44" s="663"/>
      <c r="F44" s="663"/>
      <c r="G44" s="663"/>
      <c r="H44" s="663"/>
      <c r="I44" s="663"/>
      <c r="J44" s="663"/>
      <c r="K44" s="663"/>
    </row>
    <row r="45" spans="1:12">
      <c r="A45" s="471"/>
      <c r="B45" s="479" t="s">
        <v>248</v>
      </c>
      <c r="C45" s="480" t="s">
        <v>360</v>
      </c>
      <c r="D45" s="480"/>
      <c r="E45" s="480"/>
      <c r="F45" s="480"/>
      <c r="G45" s="480"/>
      <c r="H45" s="471"/>
    </row>
    <row r="46" spans="1:12" ht="15">
      <c r="A46" s="471"/>
      <c r="B46" s="479" t="s">
        <v>249</v>
      </c>
      <c r="C46" s="480" t="s">
        <v>361</v>
      </c>
      <c r="D46" s="480"/>
      <c r="E46" s="480"/>
      <c r="F46" s="480"/>
      <c r="G46" s="480"/>
      <c r="H46" s="471"/>
      <c r="L46" s="663"/>
    </row>
    <row r="47" spans="1:12">
      <c r="A47" s="471"/>
      <c r="B47" s="479" t="s">
        <v>250</v>
      </c>
      <c r="C47" s="480" t="s">
        <v>362</v>
      </c>
      <c r="D47" s="480"/>
      <c r="E47" s="480"/>
      <c r="F47" s="480"/>
      <c r="G47" s="480"/>
      <c r="H47" s="471"/>
    </row>
    <row r="48" spans="1:12">
      <c r="A48" s="471"/>
      <c r="B48" s="479" t="s">
        <v>251</v>
      </c>
      <c r="C48" s="480" t="s">
        <v>336</v>
      </c>
      <c r="D48" s="480"/>
      <c r="E48" s="480"/>
      <c r="F48" s="480"/>
      <c r="G48" s="480"/>
      <c r="H48" s="471"/>
    </row>
    <row r="49" spans="1:8">
      <c r="A49" s="471"/>
      <c r="B49" s="479"/>
      <c r="C49" s="471"/>
      <c r="D49" s="471"/>
      <c r="E49" s="471"/>
      <c r="F49" s="471"/>
      <c r="G49" s="471"/>
      <c r="H49" s="471"/>
    </row>
    <row r="50" spans="1:8">
      <c r="A50" s="471"/>
      <c r="B50" s="479"/>
      <c r="C50" s="471"/>
      <c r="D50" s="471"/>
      <c r="E50" s="471"/>
      <c r="F50" s="471"/>
      <c r="G50" s="471"/>
      <c r="H50" s="471"/>
    </row>
    <row r="51" spans="1:8">
      <c r="A51" s="471"/>
      <c r="B51" s="479" t="s">
        <v>252</v>
      </c>
      <c r="C51" s="471"/>
      <c r="D51" s="486" t="s">
        <v>368</v>
      </c>
      <c r="E51" s="486"/>
      <c r="F51" s="471"/>
      <c r="G51" s="471"/>
      <c r="H51" s="471"/>
    </row>
    <row r="52" spans="1:8" ht="13.5">
      <c r="A52" s="471"/>
      <c r="B52" s="479"/>
      <c r="C52" s="481" t="s">
        <v>253</v>
      </c>
      <c r="D52" s="471" t="s">
        <v>254</v>
      </c>
      <c r="E52" s="471"/>
      <c r="F52" s="471"/>
      <c r="G52" s="471"/>
      <c r="H52" s="471"/>
    </row>
    <row r="53" spans="1:8">
      <c r="A53" s="471"/>
      <c r="B53" s="479"/>
      <c r="C53" s="471"/>
      <c r="D53" s="471"/>
      <c r="E53" s="471"/>
      <c r="F53" s="471"/>
      <c r="G53" s="471"/>
      <c r="H53" s="471"/>
    </row>
    <row r="54" spans="1:8">
      <c r="A54" s="471"/>
      <c r="B54" s="479" t="s">
        <v>255</v>
      </c>
      <c r="C54" s="471"/>
      <c r="D54" s="486" t="s">
        <v>370</v>
      </c>
      <c r="E54" s="486"/>
      <c r="F54" s="471"/>
      <c r="G54" s="471"/>
      <c r="H54" s="471"/>
    </row>
    <row r="55" spans="1:8" ht="13.5">
      <c r="A55" s="471"/>
      <c r="B55" s="479"/>
      <c r="C55" s="481" t="s">
        <v>253</v>
      </c>
      <c r="D55" s="471" t="s">
        <v>256</v>
      </c>
      <c r="E55" s="471"/>
      <c r="F55" s="471"/>
      <c r="G55" s="471"/>
      <c r="H55" s="471"/>
    </row>
  </sheetData>
  <mergeCells count="32">
    <mergeCell ref="C9:F9"/>
    <mergeCell ref="C10:F10"/>
    <mergeCell ref="C11:F11"/>
    <mergeCell ref="D6:F6"/>
    <mergeCell ref="D7:F7"/>
    <mergeCell ref="A14:B14"/>
    <mergeCell ref="C16:F16"/>
    <mergeCell ref="C17:F17"/>
    <mergeCell ref="C19:F19"/>
    <mergeCell ref="C20:F20"/>
    <mergeCell ref="C18:F18"/>
    <mergeCell ref="C21:F21"/>
    <mergeCell ref="C22:F22"/>
    <mergeCell ref="C23:F23"/>
    <mergeCell ref="G27:H27"/>
    <mergeCell ref="C28:D28"/>
    <mergeCell ref="E28:F28"/>
    <mergeCell ref="G28:H28"/>
    <mergeCell ref="C29:D29"/>
    <mergeCell ref="E29:F29"/>
    <mergeCell ref="G29:H29"/>
    <mergeCell ref="C27:D27"/>
    <mergeCell ref="E27:F27"/>
    <mergeCell ref="C32:D32"/>
    <mergeCell ref="E32:F32"/>
    <mergeCell ref="G32:H32"/>
    <mergeCell ref="C30:D30"/>
    <mergeCell ref="E30:F30"/>
    <mergeCell ref="G30:H30"/>
    <mergeCell ref="C31:D31"/>
    <mergeCell ref="E31:F31"/>
    <mergeCell ref="G31:H31"/>
  </mergeCells>
  <dataValidations count="1">
    <dataValidation type="list" allowBlank="1" showInputMessage="1" showErrorMessage="1" sqref="C20:F20">
      <formula1>$L$16:$L$32</formula1>
    </dataValidation>
  </dataValidation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I19" sqref="I19"/>
    </sheetView>
  </sheetViews>
  <sheetFormatPr baseColWidth="10" defaultRowHeight="12.75"/>
  <sheetData>
    <row r="1" spans="1:8">
      <c r="C1" t="s">
        <v>344</v>
      </c>
    </row>
    <row r="2" spans="1:8">
      <c r="A2" s="645" t="s">
        <v>338</v>
      </c>
      <c r="B2" s="642">
        <v>1</v>
      </c>
      <c r="C2" s="642">
        <v>2</v>
      </c>
      <c r="D2" s="642">
        <v>3</v>
      </c>
      <c r="E2" s="642">
        <v>4</v>
      </c>
      <c r="F2" s="642">
        <v>5</v>
      </c>
      <c r="G2" s="645" t="s">
        <v>342</v>
      </c>
      <c r="H2" s="645" t="s">
        <v>343</v>
      </c>
    </row>
    <row r="3" spans="1:8">
      <c r="A3" s="646">
        <v>10000</v>
      </c>
      <c r="B3" s="460">
        <v>1000</v>
      </c>
      <c r="C3" s="460">
        <v>2000</v>
      </c>
      <c r="D3" s="460">
        <v>3000</v>
      </c>
      <c r="E3" s="460">
        <v>5000</v>
      </c>
      <c r="F3" s="460">
        <v>10000</v>
      </c>
      <c r="G3" s="645">
        <v>5000</v>
      </c>
      <c r="H3" s="645">
        <v>5000</v>
      </c>
    </row>
    <row r="4" spans="1:8">
      <c r="A4" s="646">
        <v>15000</v>
      </c>
      <c r="B4" s="460">
        <v>1000</v>
      </c>
      <c r="C4" s="460">
        <v>2000</v>
      </c>
      <c r="D4" s="460">
        <v>5000</v>
      </c>
      <c r="E4" s="460">
        <v>10000</v>
      </c>
      <c r="F4" s="460">
        <v>15000</v>
      </c>
      <c r="G4" s="645">
        <v>7500</v>
      </c>
      <c r="H4" s="645">
        <v>7500</v>
      </c>
    </row>
    <row r="5" spans="1:8">
      <c r="A5" s="646">
        <v>20000</v>
      </c>
      <c r="B5" s="460">
        <v>1000</v>
      </c>
      <c r="C5" s="460">
        <v>2000</v>
      </c>
      <c r="D5" s="460">
        <v>5000</v>
      </c>
      <c r="E5" s="460">
        <v>10000</v>
      </c>
      <c r="F5" s="460">
        <v>20000</v>
      </c>
      <c r="G5" s="645">
        <v>10000</v>
      </c>
      <c r="H5" s="645">
        <v>10000</v>
      </c>
    </row>
    <row r="6" spans="1:8">
      <c r="A6" s="646">
        <v>30000</v>
      </c>
      <c r="B6" s="460">
        <v>1000</v>
      </c>
      <c r="C6" s="460">
        <v>5000</v>
      </c>
      <c r="D6" s="460">
        <v>10000</v>
      </c>
      <c r="E6" s="460">
        <v>20000</v>
      </c>
      <c r="F6" s="460">
        <v>30000</v>
      </c>
      <c r="G6" s="645">
        <v>15000</v>
      </c>
      <c r="H6" s="645">
        <v>15000</v>
      </c>
    </row>
    <row r="7" spans="1:8">
      <c r="A7" s="646">
        <v>40000</v>
      </c>
      <c r="B7" s="460">
        <v>5000</v>
      </c>
      <c r="C7" s="460">
        <v>10000</v>
      </c>
      <c r="D7" s="460">
        <v>20000</v>
      </c>
      <c r="E7" s="460">
        <v>30000</v>
      </c>
      <c r="F7" s="460">
        <v>40000</v>
      </c>
      <c r="G7" s="645">
        <v>20000</v>
      </c>
      <c r="H7" s="645">
        <v>20000</v>
      </c>
    </row>
    <row r="8" spans="1:8">
      <c r="A8" s="646">
        <v>50000</v>
      </c>
      <c r="B8" s="460">
        <v>10000</v>
      </c>
      <c r="C8" s="460">
        <v>20000</v>
      </c>
      <c r="D8" s="460">
        <v>30000</v>
      </c>
      <c r="E8" s="460">
        <v>40000</v>
      </c>
      <c r="F8" s="460">
        <v>50000</v>
      </c>
      <c r="G8" s="645">
        <v>25000</v>
      </c>
      <c r="H8" s="645">
        <v>25000</v>
      </c>
    </row>
    <row r="9" spans="1:8">
      <c r="A9" s="646">
        <v>100000</v>
      </c>
      <c r="B9" s="460">
        <v>20000</v>
      </c>
      <c r="C9" s="460">
        <v>40000</v>
      </c>
      <c r="D9" s="460">
        <v>60000</v>
      </c>
      <c r="E9" s="460">
        <v>80000</v>
      </c>
      <c r="F9" s="460">
        <v>100000</v>
      </c>
      <c r="G9" s="645">
        <v>50000</v>
      </c>
      <c r="H9" s="645">
        <v>50000</v>
      </c>
    </row>
    <row r="10" spans="1:8">
      <c r="A10" s="646">
        <f>+A9+A7</f>
        <v>140000</v>
      </c>
      <c r="B10" s="460">
        <v>40000</v>
      </c>
      <c r="C10" s="460">
        <v>60000</v>
      </c>
      <c r="D10" s="460">
        <v>80000</v>
      </c>
      <c r="E10" s="460">
        <v>120000</v>
      </c>
      <c r="F10" s="460">
        <f>+A10</f>
        <v>140000</v>
      </c>
      <c r="G10" s="645">
        <v>70000</v>
      </c>
      <c r="H10" s="645">
        <v>70000</v>
      </c>
    </row>
    <row r="11" spans="1:8">
      <c r="A11" s="646">
        <f>+A9+A8</f>
        <v>150000</v>
      </c>
      <c r="B11" s="460">
        <v>20000</v>
      </c>
      <c r="C11" s="460">
        <v>50000</v>
      </c>
      <c r="D11" s="460">
        <v>80000</v>
      </c>
      <c r="E11" s="460">
        <v>120000</v>
      </c>
      <c r="F11" s="460">
        <f>+A11</f>
        <v>150000</v>
      </c>
      <c r="G11" s="645">
        <v>70000</v>
      </c>
      <c r="H11" s="645">
        <v>70000</v>
      </c>
    </row>
    <row r="12" spans="1:8">
      <c r="A12" s="646">
        <v>200000</v>
      </c>
      <c r="B12" s="460">
        <v>20000</v>
      </c>
      <c r="C12" s="460">
        <v>60000</v>
      </c>
      <c r="D12" s="460">
        <v>100000</v>
      </c>
      <c r="E12" s="460">
        <v>160000</v>
      </c>
      <c r="F12" s="460">
        <v>200000</v>
      </c>
      <c r="G12" s="645">
        <v>100000</v>
      </c>
      <c r="H12" s="645">
        <v>100000</v>
      </c>
    </row>
    <row r="13" spans="1:8">
      <c r="A13" s="646">
        <v>300000</v>
      </c>
      <c r="B13" s="460">
        <v>40000</v>
      </c>
      <c r="C13" s="460">
        <v>100000</v>
      </c>
      <c r="D13" s="460">
        <v>160000</v>
      </c>
      <c r="E13" s="460">
        <v>200000</v>
      </c>
      <c r="F13" s="460">
        <v>300000</v>
      </c>
      <c r="G13" s="645">
        <v>150000</v>
      </c>
      <c r="H13" s="645">
        <v>150000</v>
      </c>
    </row>
    <row r="14" spans="1:8">
      <c r="A14" s="646">
        <v>400000</v>
      </c>
      <c r="B14" s="460">
        <v>40000</v>
      </c>
      <c r="C14" s="460">
        <v>100000</v>
      </c>
      <c r="D14" s="460">
        <v>200000</v>
      </c>
      <c r="E14" s="460">
        <v>300000</v>
      </c>
      <c r="F14" s="460">
        <v>400000</v>
      </c>
      <c r="G14" s="645">
        <v>200000</v>
      </c>
      <c r="H14" s="645">
        <v>200000</v>
      </c>
    </row>
    <row r="15" spans="1:8">
      <c r="A15" s="646">
        <v>500000</v>
      </c>
      <c r="B15" s="460">
        <v>100000</v>
      </c>
      <c r="C15" s="460">
        <v>200000</v>
      </c>
      <c r="D15" s="460">
        <v>300000</v>
      </c>
      <c r="E15" s="460">
        <v>400000</v>
      </c>
      <c r="F15" s="460">
        <v>500000</v>
      </c>
      <c r="G15" s="645">
        <v>200000</v>
      </c>
      <c r="H15" s="645">
        <v>200000</v>
      </c>
    </row>
    <row r="16" spans="1:8">
      <c r="A16" s="646">
        <v>600000</v>
      </c>
      <c r="B16" s="460">
        <v>100000</v>
      </c>
      <c r="C16" s="460">
        <v>300000</v>
      </c>
      <c r="D16" s="460">
        <v>400000</v>
      </c>
      <c r="E16" s="460">
        <v>500000</v>
      </c>
      <c r="F16" s="460">
        <f>+A16</f>
        <v>600000</v>
      </c>
      <c r="G16" s="645">
        <f>+C16</f>
        <v>300000</v>
      </c>
      <c r="H16" s="645">
        <v>300000</v>
      </c>
    </row>
    <row r="17" spans="1:8">
      <c r="A17" s="646">
        <v>800000</v>
      </c>
      <c r="B17" s="460">
        <v>100000</v>
      </c>
      <c r="C17" s="460">
        <v>300000</v>
      </c>
      <c r="D17" s="460">
        <v>400000</v>
      </c>
      <c r="E17" s="460">
        <v>600000</v>
      </c>
      <c r="F17" s="460">
        <f>+A17</f>
        <v>800000</v>
      </c>
      <c r="G17" s="645">
        <v>400000</v>
      </c>
      <c r="H17" s="645">
        <f>+D17</f>
        <v>400000</v>
      </c>
    </row>
    <row r="18" spans="1:8">
      <c r="A18" s="646">
        <v>1000000</v>
      </c>
      <c r="B18" s="460">
        <v>200000</v>
      </c>
      <c r="C18" s="460">
        <v>400000</v>
      </c>
      <c r="D18" s="460">
        <v>600000</v>
      </c>
      <c r="E18" s="460">
        <v>800000</v>
      </c>
      <c r="F18" s="460">
        <v>1000000</v>
      </c>
      <c r="G18" s="645">
        <v>500000</v>
      </c>
      <c r="H18" s="645">
        <v>500000</v>
      </c>
    </row>
    <row r="19" spans="1:8">
      <c r="A19" s="646">
        <v>2000000</v>
      </c>
      <c r="B19" s="460">
        <v>100000</v>
      </c>
      <c r="C19" s="460">
        <v>300000</v>
      </c>
      <c r="D19" s="460">
        <v>500000</v>
      </c>
      <c r="E19" s="460">
        <v>1000000</v>
      </c>
      <c r="F19" s="460">
        <v>2000000</v>
      </c>
      <c r="G19" s="645">
        <v>500000</v>
      </c>
      <c r="H19" s="645">
        <v>500000</v>
      </c>
    </row>
  </sheetData>
  <sheetProtection algorithmName="SHA-512" hashValue="oUI/HGlgqGInHuX5EhAkFqJp9TJQw3mC++0x9u3BLe849QST+rEV0NlSPp2DRL6zwnZeMkFJS3KOa69IzHdsMQ==" saltValue="kL3gz7Km+MKsvMC8Did5oQ==" spinCount="100000" sheet="1" objects="1" scenario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7"/>
  <sheetViews>
    <sheetView workbookViewId="0">
      <selection sqref="A1:A2"/>
    </sheetView>
  </sheetViews>
  <sheetFormatPr baseColWidth="10" defaultRowHeight="14.25"/>
  <cols>
    <col min="1" max="1" width="18.140625" style="677" customWidth="1"/>
    <col min="2" max="6" width="15.28515625" style="677" customWidth="1"/>
    <col min="7" max="7" width="17.85546875" style="677" customWidth="1"/>
    <col min="8" max="8" width="17.5703125" style="677" customWidth="1"/>
    <col min="9" max="1024" width="15.28515625" style="677" customWidth="1"/>
    <col min="1025" max="1025" width="12.5703125" style="676" customWidth="1"/>
    <col min="1026" max="16384" width="11.42578125" style="676"/>
  </cols>
  <sheetData>
    <row r="1" spans="1:8" ht="15" customHeight="1" thickBot="1">
      <c r="A1" s="1171" t="s">
        <v>393</v>
      </c>
      <c r="B1" s="1172" t="s">
        <v>394</v>
      </c>
      <c r="C1" s="1172"/>
      <c r="D1" s="1172"/>
      <c r="E1" s="1172"/>
      <c r="F1" s="1172"/>
      <c r="G1" s="1173" t="s">
        <v>395</v>
      </c>
      <c r="H1" s="1174" t="s">
        <v>39</v>
      </c>
    </row>
    <row r="2" spans="1:8" ht="15" customHeight="1" thickBot="1">
      <c r="A2" s="1171"/>
      <c r="B2" s="678">
        <v>1</v>
      </c>
      <c r="C2" s="678">
        <v>2</v>
      </c>
      <c r="D2" s="678">
        <v>3</v>
      </c>
      <c r="E2" s="678">
        <v>4</v>
      </c>
      <c r="F2" s="678">
        <v>5</v>
      </c>
      <c r="G2" s="1173"/>
      <c r="H2" s="1174"/>
    </row>
    <row r="3" spans="1:8">
      <c r="A3" s="679">
        <v>50</v>
      </c>
      <c r="B3" s="680">
        <v>5</v>
      </c>
      <c r="C3" s="680">
        <v>10</v>
      </c>
      <c r="D3" s="680">
        <v>20</v>
      </c>
      <c r="E3" s="680">
        <v>40</v>
      </c>
      <c r="F3" s="680">
        <v>50</v>
      </c>
      <c r="G3" s="679">
        <v>20</v>
      </c>
      <c r="H3" s="679">
        <v>20</v>
      </c>
    </row>
    <row r="4" spans="1:8">
      <c r="A4" s="681">
        <v>100</v>
      </c>
      <c r="B4" s="682">
        <v>10</v>
      </c>
      <c r="C4" s="682">
        <v>20</v>
      </c>
      <c r="D4" s="682">
        <v>40</v>
      </c>
      <c r="E4" s="682">
        <v>50</v>
      </c>
      <c r="F4" s="682">
        <v>100</v>
      </c>
      <c r="G4" s="681">
        <v>40</v>
      </c>
      <c r="H4" s="681">
        <v>40</v>
      </c>
    </row>
    <row r="5" spans="1:8">
      <c r="A5" s="681">
        <v>200</v>
      </c>
      <c r="B5" s="682">
        <v>20</v>
      </c>
      <c r="C5" s="682">
        <v>50</v>
      </c>
      <c r="D5" s="682">
        <v>100</v>
      </c>
      <c r="E5" s="682">
        <v>150</v>
      </c>
      <c r="F5" s="682">
        <v>200</v>
      </c>
      <c r="G5" s="681">
        <v>100</v>
      </c>
      <c r="H5" s="681">
        <v>100</v>
      </c>
    </row>
    <row r="6" spans="1:8">
      <c r="A6" s="681">
        <v>220</v>
      </c>
      <c r="B6" s="682">
        <v>20</v>
      </c>
      <c r="C6" s="682">
        <v>50</v>
      </c>
      <c r="D6" s="682">
        <v>100</v>
      </c>
      <c r="E6" s="682">
        <v>150</v>
      </c>
      <c r="F6" s="682">
        <f>+A6</f>
        <v>220</v>
      </c>
      <c r="G6" s="681">
        <f>+D6</f>
        <v>100</v>
      </c>
      <c r="H6" s="681">
        <f>+D6</f>
        <v>100</v>
      </c>
    </row>
    <row r="7" spans="1:8">
      <c r="A7" s="681">
        <v>300</v>
      </c>
      <c r="B7" s="682">
        <v>20</v>
      </c>
      <c r="C7" s="682">
        <v>50</v>
      </c>
      <c r="D7" s="682">
        <v>100</v>
      </c>
      <c r="E7" s="682">
        <v>200</v>
      </c>
      <c r="F7" s="682">
        <v>300</v>
      </c>
      <c r="G7" s="681">
        <v>150</v>
      </c>
      <c r="H7" s="681">
        <v>150</v>
      </c>
    </row>
    <row r="8" spans="1:8">
      <c r="A8" s="681">
        <v>400</v>
      </c>
      <c r="B8" s="682">
        <v>50</v>
      </c>
      <c r="C8" s="682">
        <v>100</v>
      </c>
      <c r="D8" s="682">
        <v>200</v>
      </c>
      <c r="E8" s="682">
        <v>300</v>
      </c>
      <c r="F8" s="682">
        <v>400</v>
      </c>
      <c r="G8" s="681">
        <v>200</v>
      </c>
      <c r="H8" s="681">
        <v>200</v>
      </c>
    </row>
    <row r="9" spans="1:8">
      <c r="A9" s="681">
        <v>500</v>
      </c>
      <c r="B9" s="682">
        <v>50</v>
      </c>
      <c r="C9" s="682">
        <v>100</v>
      </c>
      <c r="D9" s="682">
        <v>200</v>
      </c>
      <c r="E9" s="682">
        <v>300</v>
      </c>
      <c r="F9" s="682">
        <v>500</v>
      </c>
      <c r="G9" s="681">
        <v>250</v>
      </c>
      <c r="H9" s="681">
        <v>250</v>
      </c>
    </row>
    <row r="10" spans="1:8">
      <c r="A10" s="681">
        <v>600</v>
      </c>
      <c r="B10" s="682">
        <v>50</v>
      </c>
      <c r="C10" s="682">
        <v>100</v>
      </c>
      <c r="D10" s="682">
        <v>300</v>
      </c>
      <c r="E10" s="682">
        <v>500</v>
      </c>
      <c r="F10" s="682">
        <v>600</v>
      </c>
      <c r="G10" s="681">
        <v>300</v>
      </c>
      <c r="H10" s="681">
        <v>300</v>
      </c>
    </row>
    <row r="11" spans="1:8">
      <c r="A11" s="681">
        <v>800</v>
      </c>
      <c r="B11" s="682">
        <v>100</v>
      </c>
      <c r="C11" s="682">
        <v>300</v>
      </c>
      <c r="D11" s="682">
        <v>500</v>
      </c>
      <c r="E11" s="682">
        <v>600</v>
      </c>
      <c r="F11" s="682">
        <v>800</v>
      </c>
      <c r="G11" s="681">
        <v>400</v>
      </c>
      <c r="H11" s="681">
        <v>400</v>
      </c>
    </row>
    <row r="12" spans="1:8">
      <c r="A12" s="681">
        <v>1000</v>
      </c>
      <c r="B12" s="682">
        <v>100</v>
      </c>
      <c r="C12" s="682">
        <v>200</v>
      </c>
      <c r="D12" s="682">
        <v>400</v>
      </c>
      <c r="E12" s="682">
        <v>500</v>
      </c>
      <c r="F12" s="682">
        <v>1000</v>
      </c>
      <c r="G12" s="681">
        <v>500</v>
      </c>
      <c r="H12" s="681">
        <v>500</v>
      </c>
    </row>
    <row r="13" spans="1:8">
      <c r="A13" s="681">
        <v>2000</v>
      </c>
      <c r="B13" s="682">
        <v>100</v>
      </c>
      <c r="C13" s="682">
        <v>200</v>
      </c>
      <c r="D13" s="682">
        <v>500</v>
      </c>
      <c r="E13" s="682">
        <v>1000</v>
      </c>
      <c r="F13" s="682">
        <v>2000</v>
      </c>
      <c r="G13" s="681">
        <v>1000</v>
      </c>
      <c r="H13" s="681">
        <v>1000</v>
      </c>
    </row>
    <row r="14" spans="1:8">
      <c r="A14" s="681">
        <v>3000</v>
      </c>
      <c r="B14" s="682">
        <v>100</v>
      </c>
      <c r="C14" s="682">
        <v>500</v>
      </c>
      <c r="D14" s="682">
        <v>1000</v>
      </c>
      <c r="E14" s="682">
        <v>2000</v>
      </c>
      <c r="F14" s="682">
        <v>3000</v>
      </c>
      <c r="G14" s="681">
        <v>1500</v>
      </c>
      <c r="H14" s="681">
        <v>1500</v>
      </c>
    </row>
    <row r="15" spans="1:8">
      <c r="A15" s="681">
        <v>4000</v>
      </c>
      <c r="B15" s="682">
        <v>500</v>
      </c>
      <c r="C15" s="682">
        <v>1000</v>
      </c>
      <c r="D15" s="682">
        <v>2000</v>
      </c>
      <c r="E15" s="682">
        <v>3000</v>
      </c>
      <c r="F15" s="682">
        <v>4000</v>
      </c>
      <c r="G15" s="681">
        <v>2000</v>
      </c>
      <c r="H15" s="681">
        <v>2000</v>
      </c>
    </row>
    <row r="16" spans="1:8">
      <c r="A16" s="681">
        <v>5000</v>
      </c>
      <c r="B16" s="682">
        <v>500</v>
      </c>
      <c r="C16" s="682">
        <v>1000</v>
      </c>
      <c r="D16" s="682">
        <v>2000</v>
      </c>
      <c r="E16" s="682">
        <v>3000</v>
      </c>
      <c r="F16" s="682">
        <v>5000</v>
      </c>
      <c r="G16" s="681">
        <v>2500</v>
      </c>
      <c r="H16" s="681">
        <v>2500</v>
      </c>
    </row>
    <row r="17" spans="1:8">
      <c r="A17" s="681">
        <v>6000</v>
      </c>
      <c r="B17" s="682">
        <v>500</v>
      </c>
      <c r="C17" s="682">
        <v>1000</v>
      </c>
      <c r="D17" s="682">
        <v>2000</v>
      </c>
      <c r="E17" s="682">
        <v>5000</v>
      </c>
      <c r="F17" s="682">
        <v>6000</v>
      </c>
      <c r="G17" s="681">
        <v>3000</v>
      </c>
      <c r="H17" s="681">
        <v>3000</v>
      </c>
    </row>
    <row r="18" spans="1:8">
      <c r="A18" s="681">
        <v>7000</v>
      </c>
      <c r="B18" s="682">
        <v>500</v>
      </c>
      <c r="C18" s="682">
        <v>1000</v>
      </c>
      <c r="D18" s="682">
        <v>3000</v>
      </c>
      <c r="E18" s="682">
        <v>5000</v>
      </c>
      <c r="F18" s="682">
        <f>+A18</f>
        <v>7000</v>
      </c>
      <c r="G18" s="681">
        <v>3500</v>
      </c>
      <c r="H18" s="681">
        <v>3500</v>
      </c>
    </row>
    <row r="19" spans="1:8">
      <c r="A19" s="681">
        <v>8000</v>
      </c>
      <c r="B19" s="682">
        <v>500</v>
      </c>
      <c r="C19" s="682">
        <v>1000</v>
      </c>
      <c r="D19" s="682">
        <v>2000</v>
      </c>
      <c r="E19" s="682">
        <v>5000</v>
      </c>
      <c r="F19" s="682">
        <v>8000</v>
      </c>
      <c r="G19" s="681">
        <v>4000</v>
      </c>
      <c r="H19" s="681">
        <v>4000</v>
      </c>
    </row>
    <row r="20" spans="1:8">
      <c r="A20" s="681">
        <v>10000</v>
      </c>
      <c r="B20" s="682">
        <v>1000</v>
      </c>
      <c r="C20" s="682">
        <v>2000</v>
      </c>
      <c r="D20" s="682">
        <v>5000</v>
      </c>
      <c r="E20" s="682">
        <v>7000</v>
      </c>
      <c r="F20" s="682">
        <v>10000</v>
      </c>
      <c r="G20" s="681">
        <v>5000</v>
      </c>
      <c r="H20" s="681">
        <v>5000</v>
      </c>
    </row>
    <row r="21" spans="1:8">
      <c r="A21" s="681">
        <v>12000</v>
      </c>
      <c r="B21" s="682">
        <v>1000</v>
      </c>
      <c r="C21" s="682">
        <v>2000</v>
      </c>
      <c r="D21" s="682">
        <v>5000</v>
      </c>
      <c r="E21" s="682">
        <v>10000</v>
      </c>
      <c r="F21" s="682">
        <f>+A21</f>
        <v>12000</v>
      </c>
      <c r="G21" s="681">
        <v>6000</v>
      </c>
      <c r="H21" s="681">
        <v>6000</v>
      </c>
    </row>
    <row r="22" spans="1:8">
      <c r="A22" s="681">
        <v>15000</v>
      </c>
      <c r="B22" s="682">
        <v>1000</v>
      </c>
      <c r="C22" s="682">
        <v>2000</v>
      </c>
      <c r="D22" s="682">
        <v>5000</v>
      </c>
      <c r="E22" s="682">
        <v>10000</v>
      </c>
      <c r="F22" s="682">
        <v>15000</v>
      </c>
      <c r="G22" s="681">
        <v>7500</v>
      </c>
      <c r="H22" s="681">
        <v>7500</v>
      </c>
    </row>
    <row r="23" spans="1:8">
      <c r="A23" s="681">
        <v>20000</v>
      </c>
      <c r="B23" s="682">
        <v>1000</v>
      </c>
      <c r="C23" s="682">
        <v>2000</v>
      </c>
      <c r="D23" s="682">
        <v>5000</v>
      </c>
      <c r="E23" s="682">
        <v>10000</v>
      </c>
      <c r="F23" s="682">
        <v>20000</v>
      </c>
      <c r="G23" s="681">
        <v>10000</v>
      </c>
      <c r="H23" s="681">
        <v>10000</v>
      </c>
    </row>
    <row r="24" spans="1:8">
      <c r="A24" s="681">
        <v>30000</v>
      </c>
      <c r="B24" s="682">
        <v>2000</v>
      </c>
      <c r="C24" s="682">
        <v>5000</v>
      </c>
      <c r="D24" s="682">
        <v>10000</v>
      </c>
      <c r="E24" s="682">
        <v>20000</v>
      </c>
      <c r="F24" s="682">
        <v>30000</v>
      </c>
      <c r="G24" s="681">
        <v>15000</v>
      </c>
      <c r="H24" s="681">
        <v>15000</v>
      </c>
    </row>
    <row r="25" spans="1:8">
      <c r="A25" s="681">
        <v>40000</v>
      </c>
      <c r="B25" s="682">
        <v>5000</v>
      </c>
      <c r="C25" s="682">
        <v>10000</v>
      </c>
      <c r="D25" s="682">
        <v>20000</v>
      </c>
      <c r="E25" s="682">
        <v>30000</v>
      </c>
      <c r="F25" s="682">
        <v>40000</v>
      </c>
      <c r="G25" s="681">
        <v>20000</v>
      </c>
      <c r="H25" s="681">
        <v>20000</v>
      </c>
    </row>
    <row r="26" spans="1:8">
      <c r="A26" s="681">
        <v>50000</v>
      </c>
      <c r="B26" s="682">
        <v>10000</v>
      </c>
      <c r="C26" s="682">
        <v>20000</v>
      </c>
      <c r="D26" s="682">
        <v>30000</v>
      </c>
      <c r="E26" s="682">
        <v>40000</v>
      </c>
      <c r="F26" s="682">
        <v>50000</v>
      </c>
      <c r="G26" s="681">
        <v>25000</v>
      </c>
      <c r="H26" s="681">
        <v>25000</v>
      </c>
    </row>
    <row r="27" spans="1:8">
      <c r="A27" s="681">
        <v>100000</v>
      </c>
      <c r="B27" s="682">
        <v>20000</v>
      </c>
      <c r="C27" s="682">
        <v>40000</v>
      </c>
      <c r="D27" s="682">
        <v>60000</v>
      </c>
      <c r="E27" s="682">
        <v>80000</v>
      </c>
      <c r="F27" s="682">
        <v>100000</v>
      </c>
      <c r="G27" s="681">
        <v>50000</v>
      </c>
      <c r="H27" s="681">
        <v>50000</v>
      </c>
    </row>
    <row r="28" spans="1:8">
      <c r="A28" s="681">
        <f>+A27+A25</f>
        <v>140000</v>
      </c>
      <c r="B28" s="682">
        <v>40000</v>
      </c>
      <c r="C28" s="682">
        <v>60000</v>
      </c>
      <c r="D28" s="682">
        <v>80000</v>
      </c>
      <c r="E28" s="682">
        <v>120000</v>
      </c>
      <c r="F28" s="682">
        <f>+A28</f>
        <v>140000</v>
      </c>
      <c r="G28" s="681">
        <v>70000</v>
      </c>
      <c r="H28" s="681">
        <v>70000</v>
      </c>
    </row>
    <row r="29" spans="1:8">
      <c r="A29" s="681">
        <f>+A27+A26</f>
        <v>150000</v>
      </c>
      <c r="B29" s="682">
        <v>20000</v>
      </c>
      <c r="C29" s="682">
        <v>50000</v>
      </c>
      <c r="D29" s="682">
        <v>80000</v>
      </c>
      <c r="E29" s="682">
        <v>120000</v>
      </c>
      <c r="F29" s="682">
        <f>+A29</f>
        <v>150000</v>
      </c>
      <c r="G29" s="681">
        <v>70000</v>
      </c>
      <c r="H29" s="681">
        <v>70000</v>
      </c>
    </row>
    <row r="30" spans="1:8">
      <c r="A30" s="681">
        <v>200000</v>
      </c>
      <c r="B30" s="682">
        <v>20000</v>
      </c>
      <c r="C30" s="682">
        <v>60000</v>
      </c>
      <c r="D30" s="682">
        <v>100000</v>
      </c>
      <c r="E30" s="682">
        <v>160000</v>
      </c>
      <c r="F30" s="682">
        <v>200000</v>
      </c>
      <c r="G30" s="681">
        <v>100000</v>
      </c>
      <c r="H30" s="681">
        <v>100000</v>
      </c>
    </row>
    <row r="31" spans="1:8">
      <c r="A31" s="681">
        <v>300000</v>
      </c>
      <c r="B31" s="682">
        <v>40000</v>
      </c>
      <c r="C31" s="682">
        <v>100000</v>
      </c>
      <c r="D31" s="682">
        <v>160000</v>
      </c>
      <c r="E31" s="682">
        <v>200000</v>
      </c>
      <c r="F31" s="682">
        <v>300000</v>
      </c>
      <c r="G31" s="681">
        <v>150000</v>
      </c>
      <c r="H31" s="681">
        <v>150000</v>
      </c>
    </row>
    <row r="32" spans="1:8">
      <c r="A32" s="681">
        <v>400000</v>
      </c>
      <c r="B32" s="682">
        <v>40000</v>
      </c>
      <c r="C32" s="682">
        <v>100000</v>
      </c>
      <c r="D32" s="682">
        <v>200000</v>
      </c>
      <c r="E32" s="682">
        <v>300000</v>
      </c>
      <c r="F32" s="682">
        <v>400000</v>
      </c>
      <c r="G32" s="681">
        <v>200000</v>
      </c>
      <c r="H32" s="681">
        <v>200000</v>
      </c>
    </row>
    <row r="33" spans="1:8">
      <c r="A33" s="681">
        <v>500000</v>
      </c>
      <c r="B33" s="682">
        <v>100000</v>
      </c>
      <c r="C33" s="682">
        <v>200000</v>
      </c>
      <c r="D33" s="682">
        <v>300000</v>
      </c>
      <c r="E33" s="682">
        <v>400000</v>
      </c>
      <c r="F33" s="682">
        <v>500000</v>
      </c>
      <c r="G33" s="681">
        <v>200000</v>
      </c>
      <c r="H33" s="681">
        <v>200000</v>
      </c>
    </row>
    <row r="34" spans="1:8">
      <c r="A34" s="681">
        <v>600000</v>
      </c>
      <c r="B34" s="682">
        <v>100000</v>
      </c>
      <c r="C34" s="682">
        <v>300000</v>
      </c>
      <c r="D34" s="682">
        <v>400000</v>
      </c>
      <c r="E34" s="682">
        <v>500000</v>
      </c>
      <c r="F34" s="682">
        <f>+A34</f>
        <v>600000</v>
      </c>
      <c r="G34" s="681">
        <f>+C34</f>
        <v>300000</v>
      </c>
      <c r="H34" s="681">
        <v>300000</v>
      </c>
    </row>
    <row r="35" spans="1:8">
      <c r="A35" s="681">
        <v>800000</v>
      </c>
      <c r="B35" s="682">
        <v>100000</v>
      </c>
      <c r="C35" s="682">
        <v>300000</v>
      </c>
      <c r="D35" s="682">
        <v>400000</v>
      </c>
      <c r="E35" s="682">
        <v>600000</v>
      </c>
      <c r="F35" s="682">
        <f>+A35</f>
        <v>800000</v>
      </c>
      <c r="G35" s="681">
        <v>400000</v>
      </c>
      <c r="H35" s="681">
        <f>+D35</f>
        <v>400000</v>
      </c>
    </row>
    <row r="36" spans="1:8">
      <c r="A36" s="681">
        <v>1000000</v>
      </c>
      <c r="B36" s="682">
        <v>200000</v>
      </c>
      <c r="C36" s="682">
        <v>400000</v>
      </c>
      <c r="D36" s="682">
        <v>600000</v>
      </c>
      <c r="E36" s="682">
        <v>800000</v>
      </c>
      <c r="F36" s="682">
        <v>1000000</v>
      </c>
      <c r="G36" s="681">
        <v>500000</v>
      </c>
      <c r="H36" s="681">
        <v>500000</v>
      </c>
    </row>
    <row r="37" spans="1:8">
      <c r="A37" s="681">
        <v>2000000</v>
      </c>
      <c r="B37" s="682">
        <v>100000</v>
      </c>
      <c r="C37" s="682">
        <v>300000</v>
      </c>
      <c r="D37" s="682">
        <v>500000</v>
      </c>
      <c r="E37" s="682">
        <v>1000000</v>
      </c>
      <c r="F37" s="682">
        <v>2000000</v>
      </c>
      <c r="G37" s="681">
        <v>500000</v>
      </c>
      <c r="H37" s="681">
        <v>500000</v>
      </c>
    </row>
  </sheetData>
  <sheetProtection algorithmName="SHA-512" hashValue="7ZvZlgeKNNTMYPljD4nYYhi588AHbQTlPFYsYaSuVvdB/f2IixZCclZLqA/BE9hxR6X2jJ1lwHAyjowW7+dKtg==" saltValue="u/NIHcj5Tx4WthiGm9+TVQ==" spinCount="100000" sheet="1" objects="1" scenarios="1"/>
  <mergeCells count="4">
    <mergeCell ref="A1:A2"/>
    <mergeCell ref="B1:F1"/>
    <mergeCell ref="G1:G2"/>
    <mergeCell ref="H1:H2"/>
  </mergeCell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Hoja_de_registro</vt:lpstr>
      <vt:lpstr>HOJA DE CALCULO</vt:lpstr>
      <vt:lpstr>calculo2</vt:lpstr>
      <vt:lpstr>MC</vt:lpstr>
      <vt:lpstr>EMT</vt:lpstr>
      <vt:lpstr>CERT</vt:lpstr>
      <vt:lpstr>DATOS</vt:lpstr>
      <vt:lpstr>LIN</vt:lpstr>
      <vt:lpstr>Puntos_de_medición</vt:lpstr>
      <vt:lpstr>calculo2!Área_de_impresión</vt:lpstr>
      <vt:lpstr>CERT!Área_de_impresión</vt:lpstr>
      <vt:lpstr>'HOJA DE CALCULO'!Área_de_impresión</vt:lpstr>
    </vt:vector>
  </TitlesOfParts>
  <Manager>BASCULA ELECTRONICA AVERY BERKEL</Manager>
  <Company>MASTERPAK DE MÉXICO, S.A. DE C.V.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DE CALIBRACIÓN DE MASAS</dc:title>
  <dc:subject>M-349-2 002</dc:subject>
  <dc:creator>ALBERTO GARCIA</dc:creator>
  <cp:lastModifiedBy>Sebastián RC</cp:lastModifiedBy>
  <cp:lastPrinted>2020-02-10T19:07:52Z</cp:lastPrinted>
  <dcterms:created xsi:type="dcterms:W3CDTF">1980-01-14T02:35:52Z</dcterms:created>
  <dcterms:modified xsi:type="dcterms:W3CDTF">2023-01-30T23:44:47Z</dcterms:modified>
</cp:coreProperties>
</file>